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9"/>
  <workbookPr defaultThemeVersion="124226"/>
  <mc:AlternateContent xmlns:mc="http://schemas.openxmlformats.org/markup-compatibility/2006">
    <mc:Choice Requires="x15">
      <x15ac:absPath xmlns:x15ac="http://schemas.microsoft.com/office/spreadsheetml/2010/11/ac" url="D:\виконком і сесія\сесія\3 сесія\18\"/>
    </mc:Choice>
  </mc:AlternateContent>
  <xr:revisionPtr revIDLastSave="0" documentId="8_{41524641-1F4C-4745-BCF6-139B95F66EF2}" xr6:coauthVersionLast="36" xr6:coauthVersionMax="36" xr10:uidLastSave="{00000000-0000-0000-0000-000000000000}"/>
  <bookViews>
    <workbookView xWindow="0" yWindow="0" windowWidth="14370" windowHeight="8145"/>
  </bookViews>
  <sheets>
    <sheet name="дод.7" sheetId="8" r:id="rId1"/>
  </sheets>
  <definedNames>
    <definedName name="_xlnm.Print_Titles" localSheetId="0">дод.7!$6:$8</definedName>
    <definedName name="_xlnm.Print_Area" localSheetId="0">дод.7!$A$1:$K$258</definedName>
  </definedNames>
  <calcPr calcId="191029" fullCalcOnLoad="1"/>
</workbook>
</file>

<file path=xl/calcChain.xml><?xml version="1.0" encoding="utf-8"?>
<calcChain xmlns="http://schemas.openxmlformats.org/spreadsheetml/2006/main">
  <c r="I244" i="8" l="1"/>
  <c r="I242" i="8"/>
  <c r="H242" i="8" s="1"/>
  <c r="I126" i="8"/>
  <c r="I127" i="8"/>
  <c r="K125" i="8"/>
  <c r="J125" i="8"/>
  <c r="K104" i="8"/>
  <c r="J104" i="8"/>
  <c r="K45" i="8"/>
  <c r="J45" i="8"/>
  <c r="I128" i="8"/>
  <c r="H128" i="8" s="1"/>
  <c r="I115" i="8"/>
  <c r="I104" i="8"/>
  <c r="H104" i="8" s="1"/>
  <c r="I61" i="8"/>
  <c r="H61" i="8" s="1"/>
  <c r="I62" i="8"/>
  <c r="H62" i="8" s="1"/>
  <c r="I60" i="8"/>
  <c r="H60" i="8" s="1"/>
  <c r="I59" i="8"/>
  <c r="I58" i="8"/>
  <c r="I57" i="8"/>
  <c r="I56" i="8" s="1"/>
  <c r="I44" i="8" s="1"/>
  <c r="H58" i="8"/>
  <c r="I55" i="8"/>
  <c r="I93" i="8"/>
  <c r="I46" i="8"/>
  <c r="H46" i="8" s="1"/>
  <c r="I92" i="8"/>
  <c r="H92" i="8"/>
  <c r="I45" i="8"/>
  <c r="H45" i="8" s="1"/>
  <c r="I91" i="8"/>
  <c r="I18" i="8"/>
  <c r="I20" i="8"/>
  <c r="I15" i="8"/>
  <c r="I12" i="8"/>
  <c r="H12" i="8" s="1"/>
  <c r="J197" i="8"/>
  <c r="K197" i="8"/>
  <c r="K195" i="8" s="1"/>
  <c r="I197" i="8"/>
  <c r="I195" i="8" s="1"/>
  <c r="I167" i="8"/>
  <c r="I190" i="8"/>
  <c r="J202" i="8"/>
  <c r="I219" i="8"/>
  <c r="J172" i="8"/>
  <c r="H172" i="8" s="1"/>
  <c r="I152" i="8"/>
  <c r="J175" i="8"/>
  <c r="K175" i="8" s="1"/>
  <c r="I241" i="8"/>
  <c r="H241" i="8"/>
  <c r="K118" i="8"/>
  <c r="J118" i="8"/>
  <c r="J116" i="8" s="1"/>
  <c r="I118" i="8"/>
  <c r="K234" i="8"/>
  <c r="J234" i="8"/>
  <c r="K244" i="8"/>
  <c r="J244" i="8"/>
  <c r="I250" i="8"/>
  <c r="H250" i="8" s="1"/>
  <c r="I235" i="8"/>
  <c r="I129" i="8"/>
  <c r="J164" i="8"/>
  <c r="K164" i="8"/>
  <c r="K93" i="8"/>
  <c r="K90" i="8" s="1"/>
  <c r="J93" i="8"/>
  <c r="I64" i="8"/>
  <c r="I78" i="8"/>
  <c r="I89" i="8"/>
  <c r="I88" i="8"/>
  <c r="I87" i="8"/>
  <c r="I76" i="8"/>
  <c r="I74" i="8"/>
  <c r="I86" i="8"/>
  <c r="I85" i="8"/>
  <c r="I84" i="8"/>
  <c r="I83" i="8"/>
  <c r="I80" i="8" s="1"/>
  <c r="I82" i="8"/>
  <c r="I72" i="8"/>
  <c r="H72" i="8" s="1"/>
  <c r="I54" i="8"/>
  <c r="I53" i="8"/>
  <c r="H53" i="8" s="1"/>
  <c r="I51" i="8"/>
  <c r="I49" i="8"/>
  <c r="I48" i="8"/>
  <c r="I26" i="8"/>
  <c r="H26" i="8" s="1"/>
  <c r="I29" i="8"/>
  <c r="K29" i="8"/>
  <c r="J29" i="8"/>
  <c r="J27" i="8" s="1"/>
  <c r="J41" i="8" s="1"/>
  <c r="I11" i="8"/>
  <c r="J146" i="8"/>
  <c r="I243" i="8"/>
  <c r="I157" i="8"/>
  <c r="H157" i="8" s="1"/>
  <c r="J171" i="8"/>
  <c r="I218" i="8"/>
  <c r="I217" i="8" s="1"/>
  <c r="H217" i="8" s="1"/>
  <c r="I186" i="8"/>
  <c r="I184" i="8"/>
  <c r="J157" i="8"/>
  <c r="I213" i="8"/>
  <c r="H213" i="8" s="1"/>
  <c r="K226" i="8"/>
  <c r="J226" i="8"/>
  <c r="H226" i="8" s="1"/>
  <c r="I226" i="8"/>
  <c r="I225" i="8"/>
  <c r="J227" i="8"/>
  <c r="I156" i="8"/>
  <c r="H156" i="8" s="1"/>
  <c r="I193" i="8"/>
  <c r="J193" i="8"/>
  <c r="J192" i="8" s="1"/>
  <c r="J189" i="8"/>
  <c r="K189" i="8"/>
  <c r="K188" i="8" s="1"/>
  <c r="I189" i="8"/>
  <c r="H150" i="8"/>
  <c r="I139" i="8"/>
  <c r="I138" i="8"/>
  <c r="I137" i="8"/>
  <c r="H137" i="8" s="1"/>
  <c r="I136" i="8"/>
  <c r="H136" i="8" s="1"/>
  <c r="I135" i="8"/>
  <c r="H135" i="8" s="1"/>
  <c r="I134" i="8"/>
  <c r="H134" i="8"/>
  <c r="I133" i="8"/>
  <c r="H133" i="8"/>
  <c r="I94" i="8"/>
  <c r="J106" i="8"/>
  <c r="K92" i="8"/>
  <c r="J92" i="8"/>
  <c r="J90" i="8" s="1"/>
  <c r="K28" i="8"/>
  <c r="J28" i="8"/>
  <c r="H28" i="8" s="1"/>
  <c r="I236" i="8"/>
  <c r="I122" i="8"/>
  <c r="H122" i="8" s="1"/>
  <c r="I119" i="8"/>
  <c r="I70" i="8"/>
  <c r="I77" i="8"/>
  <c r="H77" i="8" s="1"/>
  <c r="H76" i="8"/>
  <c r="I73" i="8"/>
  <c r="H73" i="8" s="1"/>
  <c r="I68" i="8"/>
  <c r="I37" i="8"/>
  <c r="H37" i="8" s="1"/>
  <c r="I36" i="8"/>
  <c r="I34" i="8"/>
  <c r="H34" i="8" s="1"/>
  <c r="I28" i="8"/>
  <c r="I33" i="8"/>
  <c r="H33" i="8" s="1"/>
  <c r="H11" i="8"/>
  <c r="J163" i="8"/>
  <c r="K172" i="8"/>
  <c r="H171" i="8"/>
  <c r="I147" i="8"/>
  <c r="I208" i="8"/>
  <c r="I207" i="8"/>
  <c r="H207" i="8" s="1"/>
  <c r="I194" i="8"/>
  <c r="I151" i="8"/>
  <c r="H151" i="8" s="1"/>
  <c r="I21" i="8"/>
  <c r="J151" i="8"/>
  <c r="H163" i="8"/>
  <c r="K163" i="8"/>
  <c r="J208" i="8"/>
  <c r="I17" i="8"/>
  <c r="H17" i="8" s="1"/>
  <c r="I251" i="8"/>
  <c r="H127" i="8"/>
  <c r="I253" i="8"/>
  <c r="K131" i="8"/>
  <c r="J131" i="8"/>
  <c r="H131" i="8" s="1"/>
  <c r="I131" i="8"/>
  <c r="I166" i="8"/>
  <c r="H166" i="8" s="1"/>
  <c r="K167" i="8"/>
  <c r="H219" i="8"/>
  <c r="J188" i="8"/>
  <c r="I199" i="8"/>
  <c r="H59" i="8"/>
  <c r="H63" i="8"/>
  <c r="H209" i="8"/>
  <c r="K209" i="8"/>
  <c r="K116" i="8"/>
  <c r="K27" i="8"/>
  <c r="K41" i="8" s="1"/>
  <c r="H198" i="8"/>
  <c r="K217" i="8"/>
  <c r="J217" i="8"/>
  <c r="J181" i="8"/>
  <c r="J210" i="8"/>
  <c r="H89" i="8"/>
  <c r="H80" i="8"/>
  <c r="H78" i="8"/>
  <c r="I96" i="8"/>
  <c r="H96" i="8" s="1"/>
  <c r="I14" i="8"/>
  <c r="H117" i="8"/>
  <c r="H69" i="8"/>
  <c r="K68" i="8"/>
  <c r="K67" i="8"/>
  <c r="J68" i="8"/>
  <c r="I67" i="8"/>
  <c r="I233" i="8"/>
  <c r="J239" i="8"/>
  <c r="J247" i="8"/>
  <c r="H57" i="8"/>
  <c r="H55" i="8"/>
  <c r="I240" i="8"/>
  <c r="H240" i="8"/>
  <c r="I111" i="8"/>
  <c r="I109" i="8"/>
  <c r="H109" i="8" s="1"/>
  <c r="H35" i="8"/>
  <c r="K103" i="8"/>
  <c r="I103" i="8"/>
  <c r="I112" i="8" s="1"/>
  <c r="H106" i="8"/>
  <c r="H234" i="8"/>
  <c r="J107" i="8"/>
  <c r="K107" i="8"/>
  <c r="I107" i="8"/>
  <c r="H107" i="8"/>
  <c r="H108" i="8"/>
  <c r="I223" i="8"/>
  <c r="I230" i="8" s="1"/>
  <c r="H32" i="8"/>
  <c r="H36" i="8"/>
  <c r="H38" i="8"/>
  <c r="H39" i="8"/>
  <c r="H40" i="8"/>
  <c r="J31" i="8"/>
  <c r="K31" i="8"/>
  <c r="J132" i="8"/>
  <c r="K132" i="8"/>
  <c r="H138" i="8"/>
  <c r="H139" i="8"/>
  <c r="H252" i="8"/>
  <c r="J109" i="8"/>
  <c r="K109" i="8"/>
  <c r="H110" i="8"/>
  <c r="H229" i="8"/>
  <c r="H228" i="8"/>
  <c r="I228" i="8"/>
  <c r="J228" i="8"/>
  <c r="K228" i="8"/>
  <c r="H212" i="8"/>
  <c r="H214" i="8"/>
  <c r="H215" i="8"/>
  <c r="H216" i="8"/>
  <c r="J211" i="8"/>
  <c r="K211" i="8"/>
  <c r="H91" i="8"/>
  <c r="H94" i="8"/>
  <c r="H95" i="8"/>
  <c r="K242" i="8"/>
  <c r="K239" i="8" s="1"/>
  <c r="K247" i="8" s="1"/>
  <c r="H243" i="8"/>
  <c r="K203" i="8"/>
  <c r="H123" i="8"/>
  <c r="H70" i="8"/>
  <c r="K193" i="8"/>
  <c r="K192" i="8" s="1"/>
  <c r="J174" i="8"/>
  <c r="K174" i="8" s="1"/>
  <c r="J200" i="8"/>
  <c r="H200" i="8" s="1"/>
  <c r="J201" i="8"/>
  <c r="J180" i="8"/>
  <c r="K180" i="8" s="1"/>
  <c r="J177" i="8"/>
  <c r="J173" i="8"/>
  <c r="H173" i="8" s="1"/>
  <c r="K173" i="8"/>
  <c r="H47" i="8"/>
  <c r="H227" i="8"/>
  <c r="H194" i="8"/>
  <c r="H97" i="8"/>
  <c r="H98" i="8"/>
  <c r="H115" i="8"/>
  <c r="H22" i="8"/>
  <c r="H178" i="8"/>
  <c r="H179" i="8"/>
  <c r="J71" i="8"/>
  <c r="K71" i="8"/>
  <c r="K100" i="8" s="1"/>
  <c r="H13" i="8"/>
  <c r="H15" i="8"/>
  <c r="H16" i="8"/>
  <c r="H21" i="8"/>
  <c r="K21" i="8"/>
  <c r="I188" i="8"/>
  <c r="H188" i="8" s="1"/>
  <c r="H190" i="8"/>
  <c r="K194" i="8"/>
  <c r="H181" i="8"/>
  <c r="K223" i="8"/>
  <c r="K230" i="8" s="1"/>
  <c r="H224" i="8"/>
  <c r="H120" i="8"/>
  <c r="J167" i="8"/>
  <c r="H167" i="8" s="1"/>
  <c r="H169" i="8"/>
  <c r="I170" i="8"/>
  <c r="K250" i="8"/>
  <c r="K253" i="8"/>
  <c r="J250" i="8"/>
  <c r="J253" i="8"/>
  <c r="H237" i="8"/>
  <c r="H111" i="8"/>
  <c r="H105" i="8"/>
  <c r="H66" i="8"/>
  <c r="H54" i="8"/>
  <c r="H176" i="8"/>
  <c r="H149" i="8"/>
  <c r="H148" i="8"/>
  <c r="K147" i="8"/>
  <c r="K146" i="8" s="1"/>
  <c r="J147" i="8"/>
  <c r="H155" i="8"/>
  <c r="K224" i="8"/>
  <c r="H168" i="8"/>
  <c r="H183" i="8"/>
  <c r="J80" i="8"/>
  <c r="K80" i="8"/>
  <c r="J235" i="8"/>
  <c r="H235" i="8"/>
  <c r="K235" i="8"/>
  <c r="K233" i="8"/>
  <c r="H236" i="8"/>
  <c r="H238" i="8"/>
  <c r="K124" i="8"/>
  <c r="K140" i="8"/>
  <c r="H129" i="8"/>
  <c r="H130" i="8"/>
  <c r="H141" i="8"/>
  <c r="H142" i="8"/>
  <c r="H143" i="8"/>
  <c r="J64" i="8"/>
  <c r="H64" i="8"/>
  <c r="K64" i="8"/>
  <c r="H81" i="8"/>
  <c r="H82" i="8"/>
  <c r="H83" i="8"/>
  <c r="H84" i="8"/>
  <c r="H85" i="8"/>
  <c r="H86" i="8"/>
  <c r="H87" i="8"/>
  <c r="H88" i="8"/>
  <c r="J56" i="8"/>
  <c r="K56" i="8"/>
  <c r="J49" i="8"/>
  <c r="K49" i="8"/>
  <c r="K44" i="8" s="1"/>
  <c r="J26" i="8"/>
  <c r="K26" i="8"/>
  <c r="J18" i="8"/>
  <c r="H18" i="8"/>
  <c r="K18" i="8"/>
  <c r="H79" i="8"/>
  <c r="H75" i="8"/>
  <c r="H65" i="8"/>
  <c r="H52" i="8"/>
  <c r="H51" i="8"/>
  <c r="H50" i="8"/>
  <c r="H48" i="8"/>
  <c r="H20" i="8"/>
  <c r="H19" i="8"/>
  <c r="J14" i="8"/>
  <c r="K14" i="8"/>
  <c r="J12" i="8"/>
  <c r="J23" i="8" s="1"/>
  <c r="K12" i="8"/>
  <c r="K23" i="8"/>
  <c r="H187" i="8"/>
  <c r="H186" i="8"/>
  <c r="J182" i="8"/>
  <c r="H174" i="8"/>
  <c r="H189" i="8"/>
  <c r="K181" i="8"/>
  <c r="H225" i="8"/>
  <c r="I192" i="8"/>
  <c r="H192" i="8" s="1"/>
  <c r="H118" i="8"/>
  <c r="H218" i="8"/>
  <c r="H175" i="8"/>
  <c r="H68" i="8"/>
  <c r="J67" i="8"/>
  <c r="H177" i="8"/>
  <c r="K177" i="8"/>
  <c r="K201" i="8"/>
  <c r="H201" i="8"/>
  <c r="J233" i="8"/>
  <c r="H244" i="8"/>
  <c r="H251" i="8"/>
  <c r="H253" i="8"/>
  <c r="H152" i="8"/>
  <c r="K171" i="8"/>
  <c r="J170" i="8"/>
  <c r="K157" i="8"/>
  <c r="K151" i="8" s="1"/>
  <c r="H164" i="8"/>
  <c r="H14" i="8"/>
  <c r="H132" i="8"/>
  <c r="H233" i="8"/>
  <c r="J195" i="8"/>
  <c r="H197" i="8"/>
  <c r="H195" i="8"/>
  <c r="H202" i="8"/>
  <c r="K202" i="8"/>
  <c r="K199" i="8"/>
  <c r="H56" i="8"/>
  <c r="I239" i="8"/>
  <c r="H239" i="8" s="1"/>
  <c r="I247" i="8"/>
  <c r="H247" i="8" s="1"/>
  <c r="H44" i="8" l="1"/>
  <c r="K208" i="8"/>
  <c r="J206" i="8"/>
  <c r="H119" i="8"/>
  <c r="I116" i="8"/>
  <c r="H116" i="8" s="1"/>
  <c r="I182" i="8"/>
  <c r="H182" i="8" s="1"/>
  <c r="H184" i="8"/>
  <c r="H29" i="8"/>
  <c r="I27" i="8"/>
  <c r="H126" i="8"/>
  <c r="I125" i="8"/>
  <c r="I23" i="8"/>
  <c r="H23" i="8" s="1"/>
  <c r="I132" i="8"/>
  <c r="I31" i="8"/>
  <c r="H31" i="8" s="1"/>
  <c r="H208" i="8"/>
  <c r="H193" i="8"/>
  <c r="H170" i="8"/>
  <c r="J223" i="8"/>
  <c r="H180" i="8"/>
  <c r="K112" i="8"/>
  <c r="I211" i="8"/>
  <c r="H211" i="8" s="1"/>
  <c r="H67" i="8"/>
  <c r="K210" i="8"/>
  <c r="H210" i="8"/>
  <c r="I206" i="8"/>
  <c r="I146" i="8"/>
  <c r="H146" i="8" s="1"/>
  <c r="H147" i="8"/>
  <c r="K170" i="8"/>
  <c r="H49" i="8"/>
  <c r="H74" i="8"/>
  <c r="I71" i="8"/>
  <c r="J199" i="8"/>
  <c r="H93" i="8"/>
  <c r="H90" i="8" s="1"/>
  <c r="I90" i="8"/>
  <c r="J44" i="8"/>
  <c r="J100" i="8" s="1"/>
  <c r="J103" i="8"/>
  <c r="J124" i="8"/>
  <c r="J140" i="8" s="1"/>
  <c r="K220" i="8" l="1"/>
  <c r="K254" i="8" s="1"/>
  <c r="J112" i="8"/>
  <c r="H103" i="8"/>
  <c r="H112" i="8" s="1"/>
  <c r="J220" i="8"/>
  <c r="H199" i="8"/>
  <c r="J230" i="8"/>
  <c r="J254" i="8" s="1"/>
  <c r="H223" i="8"/>
  <c r="H230" i="8" s="1"/>
  <c r="I220" i="8"/>
  <c r="H125" i="8"/>
  <c r="I124" i="8"/>
  <c r="H27" i="8"/>
  <c r="I41" i="8"/>
  <c r="H41" i="8" s="1"/>
  <c r="H71" i="8"/>
  <c r="I100" i="8"/>
  <c r="H100" i="8" s="1"/>
  <c r="H206" i="8"/>
  <c r="K206" i="8"/>
  <c r="H220" i="8" l="1"/>
  <c r="H124" i="8"/>
  <c r="I140" i="8"/>
  <c r="H140" i="8" s="1"/>
  <c r="I254" i="8"/>
  <c r="H254" i="8" s="1"/>
</calcChain>
</file>

<file path=xl/sharedStrings.xml><?xml version="1.0" encoding="utf-8"?>
<sst xmlns="http://schemas.openxmlformats.org/spreadsheetml/2006/main" count="710" uniqueCount="407">
  <si>
    <t>Загальний фонд</t>
  </si>
  <si>
    <t>Спеціальний фонд</t>
  </si>
  <si>
    <t>Х</t>
  </si>
  <si>
    <t>у тому числі бюджет розвитку</t>
  </si>
  <si>
    <t>Усього</t>
  </si>
  <si>
    <t>усього</t>
  </si>
  <si>
    <t>УСЬОГО</t>
  </si>
  <si>
    <t>Найменування місцевої / регіональної програми</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</si>
  <si>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</si>
  <si>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</si>
  <si>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</si>
  <si>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</si>
  <si>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</si>
  <si>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</si>
  <si>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</si>
  <si>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</si>
  <si>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</si>
  <si>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Інші заходи, пов'язані з економічною діяльністю</t>
  </si>
  <si>
    <t>1216015</t>
  </si>
  <si>
    <t>6015</t>
  </si>
  <si>
    <t>Забезпечення надійної та безперебійної експлуатації ліфтів</t>
  </si>
  <si>
    <t>1217370</t>
  </si>
  <si>
    <t>рішення Южноукраїнської міської ради №23 від 24.12.2015</t>
  </si>
  <si>
    <t>0443</t>
  </si>
  <si>
    <t xml:space="preserve">рішення Южноукраїнської міської ради №222 від 07.02.2007 </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</si>
  <si>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</si>
  <si>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</si>
  <si>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</si>
  <si>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</si>
  <si>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</si>
  <si>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</si>
  <si>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</si>
  <si>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</si>
  <si>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 xml:space="preserve">рішення Южноукраїнської міської ради №467 від 22.12.2016 </t>
  </si>
  <si>
    <t>рішення Южноукраїнської міської ради №473 від 22.12.2016</t>
  </si>
  <si>
    <t>8340</t>
  </si>
  <si>
    <t>0540</t>
  </si>
  <si>
    <t>Природоохоронні заходи за рахунок цільових фондів</t>
  </si>
  <si>
    <t xml:space="preserve">рішення Южноукраїнської міської ради №472 від 22.12.2016 </t>
  </si>
  <si>
    <t>1216011</t>
  </si>
  <si>
    <t>6011</t>
  </si>
  <si>
    <t>Експлуатація та технічне обслуговування житлового фонду</t>
  </si>
  <si>
    <t>0200000</t>
  </si>
  <si>
    <t>0210000</t>
  </si>
  <si>
    <t>0210180</t>
  </si>
  <si>
    <t>0180</t>
  </si>
  <si>
    <t>0133</t>
  </si>
  <si>
    <t>Інша діяльність у сфері державного управління</t>
  </si>
  <si>
    <t>грн.</t>
  </si>
  <si>
    <t>0217680</t>
  </si>
  <si>
    <t>7680</t>
  </si>
  <si>
    <t>Членські внески до асоціацій органів місцевого самоврядування</t>
  </si>
  <si>
    <t>Міська програма щодо організації мобілізаційної роботи та територіальної оборони в м.Южноукраїнську на 2018-2021 роки</t>
  </si>
  <si>
    <t>0218220</t>
  </si>
  <si>
    <t>8220</t>
  </si>
  <si>
    <t>0380</t>
  </si>
  <si>
    <t>Заходи та роботи з мобілізаційної підготовки місцевого значення</t>
  </si>
  <si>
    <t>0600000</t>
  </si>
  <si>
    <t>0610000</t>
  </si>
  <si>
    <t>Програма розвитку освіти в м.Южноукраїнську на 2016-2020 роки</t>
  </si>
  <si>
    <t>0800000</t>
  </si>
  <si>
    <t>0810000</t>
  </si>
  <si>
    <t>Міська комплексна Програма «Охорона здоров`я в місті Южноукраїнську» на  2017-2022 роки</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</si>
  <si>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</si>
  <si>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</si>
  <si>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</si>
  <si>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</si>
  <si>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</si>
  <si>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</si>
  <si>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</si>
  <si>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</si>
  <si>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</si>
  <si>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</si>
  <si>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</si>
  <si>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</si>
  <si>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</si>
  <si>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0812152</t>
  </si>
  <si>
    <t>2152</t>
  </si>
  <si>
    <t>Інші програми та заходи у сфері охорони здоров’я</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</si>
  <si>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</si>
  <si>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</si>
  <si>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</si>
  <si>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</si>
  <si>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0813210</t>
  </si>
  <si>
    <t>3210</t>
  </si>
  <si>
    <t>1050</t>
  </si>
  <si>
    <t xml:space="preserve">Організація та проведення громадських робіт </t>
  </si>
  <si>
    <t>Соціальна програма підтримки учасників АТО та членів їх сімей  на 2016-2020 рік</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</si>
  <si>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</si>
  <si>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</si>
  <si>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</si>
  <si>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</si>
  <si>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</si>
  <si>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</si>
  <si>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</si>
  <si>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</si>
  <si>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</si>
  <si>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</si>
  <si>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</si>
  <si>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</si>
  <si>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</si>
  <si>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</si>
  <si>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0819770</t>
  </si>
  <si>
    <t>9770</t>
  </si>
  <si>
    <t>Інші субвенції з місцевого бюджету</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</si>
  <si>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</si>
  <si>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</si>
  <si>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</si>
  <si>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</si>
  <si>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</si>
  <si>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</si>
  <si>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</si>
  <si>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</si>
  <si>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</si>
  <si>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</si>
  <si>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</si>
  <si>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</si>
  <si>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</si>
  <si>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</si>
  <si>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</si>
  <si>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</si>
  <si>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</si>
  <si>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</si>
  <si>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</si>
  <si>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</si>
  <si>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</si>
  <si>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</si>
  <si>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Комплексна програма  "Молоде покоління  м.Южноукраїнська" на 2016-2020 роки</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</si>
  <si>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</si>
  <si>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</si>
  <si>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</si>
  <si>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</si>
  <si>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</si>
  <si>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</si>
  <si>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</si>
  <si>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</si>
  <si>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</si>
  <si>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</si>
  <si>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</si>
  <si>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1015012</t>
  </si>
  <si>
    <t>5012</t>
  </si>
  <si>
    <t>Проведення навчально - тренувальних зборів і змагань з неолімпійських видів спорту</t>
  </si>
  <si>
    <t>1015061</t>
  </si>
  <si>
    <t>5061</t>
  </si>
  <si>
    <t>0470</t>
  </si>
  <si>
    <t>Реалізація програм і заходів в галузі туризму та курортів</t>
  </si>
  <si>
    <t>2900000</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</si>
  <si>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</si>
  <si>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</si>
  <si>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</si>
  <si>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2918230</t>
  </si>
  <si>
    <t>8230</t>
  </si>
  <si>
    <t>Інші заходи громадського порядку та безпеки</t>
  </si>
  <si>
    <t>2918110</t>
  </si>
  <si>
    <t>8110</t>
  </si>
  <si>
    <t>0320</t>
  </si>
  <si>
    <t>Заходи запобігання та ліквідації надзвичайних ситуацій та наслідків стихійного лиха</t>
  </si>
  <si>
    <t xml:space="preserve">Очищення вулиць та доріг від снігу та обробка протиожеледними матеріалами - одержувач бюджетних коштів - комунальне підприємство "Служба комунального господарства"  </t>
  </si>
  <si>
    <t>рішення Южноукраїнської міської ради №929 від 20.12.2017</t>
  </si>
  <si>
    <t>рішення Южноукраїнської міської ради №1573 від 30.07.2015</t>
  </si>
  <si>
    <t>рішення Южноукраїнської міської ради №771 від 13.07.2017</t>
  </si>
  <si>
    <t>рішення Южноукраїнської міської ради №1066 від 22.03.2018</t>
  </si>
  <si>
    <t>рішення Южноукраїнської міської ради №196 від 31.05.2016</t>
  </si>
  <si>
    <t>рішення Южноукраїнської міської ради №926 від 20.12.2017</t>
  </si>
  <si>
    <t>рішення Южноукраїнської міської ради №1622 від 22.10.2015</t>
  </si>
  <si>
    <t>рішення Южноукраїнської міської ради №490 від 19.01.2017</t>
  </si>
  <si>
    <t xml:space="preserve">Код Функціональної класифікації видатків та кредитування бюджету </t>
  </si>
  <si>
    <t>Програма охорони  довкілля та раціонального природокористування міста Южноукраїнська на 2016-2020 роки</t>
  </si>
  <si>
    <t>рішення Южноукраїнської міської ради №927 від 14.12.2017</t>
  </si>
  <si>
    <t xml:space="preserve">рішення Южноукраїнської міської ради №24 від 24.12.2015 </t>
  </si>
  <si>
    <t xml:space="preserve">капітальний ремонт покрівель  житлових будинків за відповідними адресами </t>
  </si>
  <si>
    <t>0610</t>
  </si>
  <si>
    <t>1217310</t>
  </si>
  <si>
    <t>Будівництво об'єктів житлово-комунального господарства</t>
  </si>
  <si>
    <t>7310</t>
  </si>
  <si>
    <t>1217461</t>
  </si>
  <si>
    <t>7461</t>
  </si>
  <si>
    <t>Утримання та розвиток автомобільних  доріг та  дорожньої інфраструктури за рахунок коштів місцевого бюджету</t>
  </si>
  <si>
    <t>0456</t>
  </si>
  <si>
    <t>0910</t>
  </si>
  <si>
    <t>0921</t>
  </si>
  <si>
    <t>0731</t>
  </si>
  <si>
    <t xml:space="preserve">Улаштування поручнів біля та в під’їздах житлових будинків </t>
  </si>
  <si>
    <t>Будівництво освітніх установ та закладів</t>
  </si>
  <si>
    <t>0812144</t>
  </si>
  <si>
    <t>2144</t>
  </si>
  <si>
    <t>Централізовані заходи з лікування хворих на цукровий та нецукровий діабет</t>
  </si>
  <si>
    <t>0900000</t>
  </si>
  <si>
    <t>0910000</t>
  </si>
  <si>
    <t>Міська програма захисту прав дітей "Дитинство" на 2018-2020 роки</t>
  </si>
  <si>
    <t>рішення Южноукраїнської міської ради №1064 від 22.03.2018</t>
  </si>
  <si>
    <t>3700000</t>
  </si>
  <si>
    <t>3710000</t>
  </si>
  <si>
    <t>Міська програма  "Фонд міської ради на виконання депутатських повноважень" на 2018-2020 роки</t>
  </si>
  <si>
    <t>рішення Южноукраїнської міської ради №919 від 20.12.2017</t>
  </si>
  <si>
    <t>3717370</t>
  </si>
  <si>
    <t xml:space="preserve">рішення Южноукраїнської міської ради №785 від 25.12.2012 </t>
  </si>
  <si>
    <t xml:space="preserve">рішення Южноукраїнської міської ради №963 від 25.01.2018 </t>
  </si>
  <si>
    <t xml:space="preserve">поточний  ремонт об"ектів благоустрою міста: (малих архітектурних форм (50,0 тис.грн.), кабельних мереж вуличного освітлення (30,0тис.грн.), гральних споруд на дитячих та спортивних майданчиках (20,8 тис.грн.), пішохідної доріжки та сходів в парковій зоні від вул.Олімпійська до перехрестя вул.Миру та вул.Паркової (500,0тис.грн.) ) - одержувач бюджетних коштів - комунальне підприємство "Служба комунального господарства"  </t>
  </si>
  <si>
    <t>із них:</t>
  </si>
  <si>
    <t>0813121</t>
  </si>
  <si>
    <t>3121</t>
  </si>
  <si>
    <t>Утримання та забезпечення діяльності центрів соціальних служб для сім'ї, дітей та молоді</t>
  </si>
  <si>
    <t xml:space="preserve">на виконання рішення Господарського суду Миколаївської області (Наказ Господарського суду від 18.06.2012 року по справі №5016/3702/2011(17/177) - в частині оплати боргових зобов'язань відповідно до Мирових угод; та за спожиту електричну енергію   - одержувач бюджетних коштів - комунальне підприємство - "Теплопостачання та водо-каналізаційне господарство" </t>
  </si>
  <si>
    <t>Реконструкція  спортивного майданчика під міні-футбольне поле зі штучним покриттям Южноукраїнської  загальноосвітньої школи І-ІІІ ступенів №3 по бульвару Цвіточний,5  в м.Южноукраїнськ Миколаївської області, в тому числі розробка проектно-кошторисної документації з проведенням експертизи (кошти співфінансування з обласним бюджетом)</t>
  </si>
  <si>
    <t>виготовлення правовстановлюючих документів на земельні ділянки комунальним підприємствам "Житлово-експлуатаційне об"єднання" , комунального підприємства "Служба комунального господарства" - 50,0 тис.грн. та розробка технічної документації з нормативної грошової оцінки землі - 300,0 тис.грн.</t>
  </si>
  <si>
    <t>Міська програма інформаційної підтримки розвитку міста та діяльності органів місцевого самоврядування на 2019-2022 роки</t>
  </si>
  <si>
    <t>Комплексна програма  розвитку культури, фізичної культури, спорту та туризму в місті Южноукраїнську на 2019-2024 роки</t>
  </si>
  <si>
    <t>зарезервовані кошти на цільову фінансову допомогу КП ТВКГ з подолання тарифно фінансових втрат</t>
  </si>
  <si>
    <t>Міська програма зайнятості  населення міста Южноукраїнська на 2018 -2020 рр.</t>
  </si>
  <si>
    <r>
      <t xml:space="preserve"> поточний ремонт гуртожитків для подальшого заселення , в тому числі:</t>
    </r>
    <r>
      <rPr>
        <sz val="12"/>
        <color indexed="10"/>
        <rFont val="Times New Roman"/>
        <family val="1"/>
        <charset val="204"/>
      </rPr>
      <t xml:space="preserve"> </t>
    </r>
    <r>
      <rPr>
        <sz val="12"/>
        <rFont val="Times New Roman"/>
        <family val="1"/>
        <charset val="204"/>
      </rPr>
      <t>(№1 по  вул.Дружби Народів,8; №3 по вул.Миру,9;  №4 по вул.Миру,11)</t>
    </r>
    <r>
      <rPr>
        <sz val="12"/>
        <color indexed="10"/>
        <rFont val="Times New Roman"/>
        <family val="1"/>
        <charset val="204"/>
      </rPr>
      <t xml:space="preserve">  - </t>
    </r>
    <r>
      <rPr>
        <sz val="12"/>
        <rFont val="Times New Roman"/>
        <family val="1"/>
        <charset val="204"/>
      </rPr>
      <t xml:space="preserve"> одержувач комунальне підприємство "Житлово-експлуатаційне об"єднання" </t>
    </r>
  </si>
  <si>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</si>
  <si>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2817130</t>
  </si>
  <si>
    <t>7130</t>
  </si>
  <si>
    <t>0421</t>
  </si>
  <si>
    <t>Здійснення  заходів із землеустрою</t>
  </si>
  <si>
    <t>0913112</t>
  </si>
  <si>
    <t>3112</t>
  </si>
  <si>
    <t xml:space="preserve">Заходи державної політики з питань дітей та їх соціального захисту </t>
  </si>
  <si>
    <t>Будівництво інших об'єктів комунальної власності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</si>
  <si>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</si>
  <si>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</si>
  <si>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</si>
  <si>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</si>
  <si>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r>
      <t xml:space="preserve">Програма реформування і розвитку житлово-комунального господарства міста Южноукраїнська на 2016-2020 роки, </t>
    </r>
    <r>
      <rPr>
        <sz val="12"/>
        <rFont val="Times New Roman"/>
        <family val="1"/>
        <charset val="204"/>
      </rPr>
      <t>всього в тому числі в розрізі програмної класифікації видатків:</t>
    </r>
  </si>
  <si>
    <t xml:space="preserve">одержувач комунальне підприємство "Житлово-експлуатаційне об"єднання" </t>
  </si>
  <si>
    <t>Програма розвитку земельних відносин на  2017 - 2021  роки</t>
  </si>
  <si>
    <t>Забезпечення діяльності водопровідно-каналізаційного господарства</t>
  </si>
  <si>
    <t>1217361</t>
  </si>
  <si>
    <t>7361</t>
  </si>
  <si>
    <t>Співфінансування інвестиційних проектів, що реалізуються за рахунок коштів державного фонду регіонального розвитку</t>
  </si>
  <si>
    <r>
      <t>Міська програма Питна вода  міста  Южноукраїнська на 2007-2020 роки - (</t>
    </r>
    <r>
      <rPr>
        <sz val="12"/>
        <rFont val="Times New Roman"/>
        <family val="1"/>
        <charset val="204"/>
      </rPr>
      <t>одержувач бюджетних коштів - комунальне підприємство - "Теплопостачання та водо-каналізаційне господарство")</t>
    </r>
  </si>
  <si>
    <t xml:space="preserve">одержувач бюджетних коштів - комунальне підприємство "Житлово-експлуатаційне об"єднання" </t>
  </si>
  <si>
    <t xml:space="preserve">одержувач бюджетних коштів - комунальне підприємство "Служба комунального господарства"- </t>
  </si>
  <si>
    <r>
      <rPr>
        <b/>
        <sz val="12"/>
        <rFont val="Times New Roman"/>
        <family val="1"/>
        <charset val="204"/>
      </rPr>
      <t>Програма поводження з твердими побутовими  відходами   на території міста Южноукраїнська на 2013 - 2020 роки ,у</t>
    </r>
    <r>
      <rPr>
        <sz val="12"/>
        <rFont val="Times New Roman"/>
        <family val="1"/>
        <charset val="204"/>
      </rPr>
      <t xml:space="preserve"> тому числі:</t>
    </r>
  </si>
  <si>
    <r>
      <t xml:space="preserve">Програма  охорони тваринного світу та регулювання чисельності бродячих тварин в місті  Южноукраїнську на 2017-2021 роки, </t>
    </r>
    <r>
      <rPr>
        <sz val="12"/>
        <rFont val="Times New Roman"/>
        <family val="1"/>
        <charset val="204"/>
      </rPr>
      <t>всього, у тому числі:</t>
    </r>
  </si>
  <si>
    <t xml:space="preserve"> одержувач бюджетних коштів - комунальне підприємство "Служба комунального господарства"</t>
  </si>
  <si>
    <t>одержувач бюджетних коштів - комунальне підприємство "Служба комунального господарства"</t>
  </si>
  <si>
    <r>
      <rPr>
        <b/>
        <sz val="12"/>
        <rFont val="Times New Roman"/>
        <family val="1"/>
        <charset val="204"/>
      </rPr>
      <t>Програма підтримки об'єднань співвласників багатоквартирних будинків на 2019-2023 роки ,</t>
    </r>
    <r>
      <rPr>
        <sz val="12"/>
        <rFont val="Times New Roman"/>
        <family val="1"/>
        <charset val="204"/>
      </rPr>
      <t xml:space="preserve"> у тому числі:</t>
    </r>
  </si>
  <si>
    <t>0611162</t>
  </si>
  <si>
    <t>1162</t>
  </si>
  <si>
    <t>0990</t>
  </si>
  <si>
    <t>Інші програм та заходи у сфері освіти</t>
  </si>
  <si>
    <t>0913111</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</si>
  <si>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</si>
  <si>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</si>
  <si>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 xml:space="preserve">субвенція з міського бюджету  обласному  бюджету на співфінансування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</si>
  <si>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харчові пайки, проїзд до місця лікування</t>
  </si>
  <si>
    <t>Програма Залучення інвестицій та поліпшення інвестиційного клімату міста Южноукраїнська на 2019-2021 роки</t>
  </si>
  <si>
    <t>0217610</t>
  </si>
  <si>
    <t>7610</t>
  </si>
  <si>
    <t>0411</t>
  </si>
  <si>
    <t>Сприяння розвитку малого та середнього підприємництва</t>
  </si>
  <si>
    <t>Міська програма розвитку малого та середнього підприємництва в місті Южноукраїнську на 2019 -2020 роки</t>
  </si>
  <si>
    <t>РОЗПОДІЛ</t>
  </si>
  <si>
    <t xml:space="preserve"> витрат міського бюджету на реалізацію місцевих / регіональних програм у 2020 році</t>
  </si>
  <si>
    <t xml:space="preserve">код бюджету </t>
  </si>
  <si>
    <t>ВИКОНАВЧИЙ КОМІТЕТ ЮЖНОУКРАЇНСЬКОЇ МІСЬКОЇ РАДИ</t>
  </si>
  <si>
    <t>рішення Южноукраїнської міської ради №1350 від 05.03.2019</t>
  </si>
  <si>
    <t>УПРАВЛІННЯ ОСВІТИ ЮЖНОУКРАЇНСЬКОЇ МІСЬКОЇ РАДИ</t>
  </si>
  <si>
    <t xml:space="preserve">ДЕПАРТАМЕНТ СОЦІАЛЬНИХ ПИТАНЬ ТА ОХОРОНИ ЗДОРОВ'Я ЮЖНОУКРАЇНСЬКОЇ МІСЬКОЇ РАДИ </t>
  </si>
  <si>
    <t>рішення Южноукраїнської міської ради  №1353 від 05.03.2019</t>
  </si>
  <si>
    <t>СЛУЖБА У СПРАВАХ ДІТЕЙ ЮЖНОУКРАЇНСЬКОЇ МІСЬКОЇ РАДИ</t>
  </si>
  <si>
    <t>УПРАВЛІННЯ МОЛОДІ, СПОРТУ ТА КУЛЬТУРИ ЮЖНОУКРАЇНСЬКОЇ МІСЬКОЇ РАДИ</t>
  </si>
  <si>
    <t>рішення Южноукраїнської міської ради №1349 від 05.03.2019</t>
  </si>
  <si>
    <t xml:space="preserve">Проведення навчально - тренувальних зборів і змагань з олімпійських видів спорту </t>
  </si>
  <si>
    <t>ДЕПАРТАМЕНТ ІНФРАСТРУКТУРИ МІСЬКОГО ГОСПОДАРСТВА ЮЖНОУКРАЇНСЬКОЇ МІСЬКОЇ РАДИ</t>
  </si>
  <si>
    <t>УПРАВЛІННЯ ЕКОЛОГІЇ, ОХОРОНИ НАВКОЛИШНЬОГО СЕРЕДОВИЩА ТА ЗЕМЕЛЬНИХ ВІДНОСИН ЮЖНОУКРАЇНСЬКОЇ МІСЬКОЇ РАДИ</t>
  </si>
  <si>
    <t>УПРАВЛІННЯ З ПИТАНЬ НАДЗВИЧАЙНИХ СИТУАЦІЙ ТА ВЗАЄМОДІЇ З ПРАВООХОРОННИМИ ОРГАНАМИ ЮЖНОУКРАЇНСЬКОЇ МІСЬКОЇ РАДИ</t>
  </si>
  <si>
    <t>ФІНАНСОВЕ УПРАВЛІННЯ ЮЖНОУКРАЇНСЬКОЇ МІСЬКОЇ РАДИ</t>
  </si>
  <si>
    <r>
      <t>Програма Капітального будівництва об'єктів житлово - комунального господарства  і соціальної інфраструктури м.Южноукраїнську на 2016-2020 роки, у</t>
    </r>
    <r>
      <rPr>
        <sz val="12"/>
        <rFont val="Times New Roman"/>
        <family val="1"/>
        <charset val="204"/>
      </rPr>
      <t xml:space="preserve"> тому числі:</t>
    </r>
  </si>
  <si>
    <t>рішення Южноукраїнської міської ради №1351 від 05.03.2019</t>
  </si>
  <si>
    <t>рішення Южноукраїнської міської ради №1590 від 13.06.2019</t>
  </si>
  <si>
    <t xml:space="preserve">Програма управління  майном комунальної форми власності  міста Южноукраїнська на 2020-2024 роки </t>
  </si>
  <si>
    <t>рішення Южноукраїнської міської ради №1753   від  19.12.2019</t>
  </si>
  <si>
    <t>рішення Южноукраїнської міської ради №1742 від 19.12.2019</t>
  </si>
  <si>
    <t xml:space="preserve">Міська програма "Наше місто" на 2020-2024 роки </t>
  </si>
  <si>
    <r>
      <t xml:space="preserve">1 </t>
    </r>
    <r>
      <rPr>
        <sz val="11"/>
        <rFont val="Times New Roman"/>
        <family val="1"/>
        <charset val="204"/>
      </rPr>
      <t xml:space="preserve"> Надається перелік програм, які затверджені місцевими радами відповідно до статті 91 Бюджетного кодексу України.</t>
    </r>
  </si>
  <si>
    <t>Надання загальної середньої освіти закладами загальної середньої освіти (у тому числі з дошкільними підрозділами (відділеннями, групами))</t>
  </si>
  <si>
    <t xml:space="preserve">Програма приватизації майна комунальної власності територіальної громади міста Южноукраїнська на 2019-2021 роки </t>
  </si>
  <si>
    <t>рішення Южноукраїнської міської ради № 1524 від 21.05.2019</t>
  </si>
  <si>
    <t>одержувач коштів - некомерційне комунальне підприємство "Южноукраїнський центр надання первинної медико - 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</si>
  <si>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</si>
  <si>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 xml:space="preserve">одержувач бюджетних коштів "Южноукраїнська міська організація воїнів та учасників АТО" </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</si>
  <si>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</si>
  <si>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в т.ч. одержувач коштів - КП Служба комунального господарства (Демонтаж новорічної ялинки ) </t>
  </si>
  <si>
    <t>Т.О.Гончарова</t>
  </si>
  <si>
    <t>Міська програма  "Фонд міської ради на виконання депутатських повноважень"</t>
  </si>
  <si>
    <t>0611010</t>
  </si>
  <si>
    <t xml:space="preserve">Надання дошкільної освiти                                                                         </t>
  </si>
  <si>
    <t>0611020</t>
  </si>
  <si>
    <t>1020</t>
  </si>
  <si>
    <t xml:space="preserve">Міська програма  "Фонд міської ради на виконання депутатських повноважень" </t>
  </si>
  <si>
    <t>0812010</t>
  </si>
  <si>
    <t>2010</t>
  </si>
  <si>
    <t xml:space="preserve">Багатопрофільна стационарна медична допомога населенню </t>
  </si>
  <si>
    <t xml:space="preserve">Міська програма "Цільова  програма  захисту  населення і територій від надзвичайних ситуацій техногенного та природного характеру на 2018-2022 роки" </t>
  </si>
  <si>
    <t>Багатопрофільна стаціонарна медична допомога населенню, в тому числі:</t>
  </si>
  <si>
    <t xml:space="preserve"> Первинна медична допомога населенню, що надається центрами первинної медичної (медико-санітарної) допомоги, в тому числі:</t>
  </si>
  <si>
    <t>0819800</t>
  </si>
  <si>
    <t>9800</t>
  </si>
  <si>
    <t xml:space="preserve">Субвенція з місцевого бюджету державному бюджету на виконання програм соціально-економічного розвитку регіонів </t>
  </si>
  <si>
    <t>субвенція з міського бюджету обласному бюджету на забезпечення Миколаївського обласного  центру  екстреної медичної допомоги та медицини катастроф засобами медичного призначення, захисним одягом, засобами органів дихання, дизінфекційниими засобами</t>
  </si>
  <si>
    <t>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органів дихання, дизінфекційниими засобами</t>
  </si>
  <si>
    <r>
      <t>Міська програма  "Фонд міської ради на виконання депутатських повноважень" на 2018-2020 роки ,</t>
    </r>
    <r>
      <rPr>
        <sz val="12"/>
        <rFont val="Times New Roman"/>
        <family val="1"/>
        <charset val="204"/>
      </rPr>
      <t xml:space="preserve"> у тому числі:</t>
    </r>
  </si>
  <si>
    <t>одержувач коштів - комунальне некомерційне підприємство "Южноукраїнська міська багатопрофільна лікарня"</t>
  </si>
  <si>
    <t>Начальник фінансового управління Южноукраїнської міської ради</t>
  </si>
  <si>
    <t>Будівництво медичних установ та закладів</t>
  </si>
  <si>
    <t>0818110</t>
  </si>
  <si>
    <t>1017622</t>
  </si>
  <si>
    <t>7622</t>
  </si>
  <si>
    <t>1218110</t>
  </si>
  <si>
    <r>
      <t xml:space="preserve">Цільова  програма захисту населення і територій від надзвичайних ситуацій техногенного та природного  характеру  на 2018-2022 роки, </t>
    </r>
    <r>
      <rPr>
        <sz val="12"/>
        <rFont val="Times New Roman"/>
        <family val="1"/>
        <charset val="204"/>
      </rPr>
      <t xml:space="preserve">у тому числі: </t>
    </r>
  </si>
  <si>
    <t>одержувачу бюджетних коштів - комунальному підприємству - "Теплопостачання та водо-каналізаційне господарство"</t>
  </si>
  <si>
    <t>Утримання та забезпечення діяльності центрів соціальних служб для сім’ї, дітей та молоді</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</si>
  <si>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</si>
  <si>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</si>
  <si>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0813104</t>
  </si>
  <si>
    <t>0810160</t>
  </si>
  <si>
    <t>0160</t>
  </si>
  <si>
    <t>0111</t>
  </si>
  <si>
    <t xml:space="preserve">Керівництво і управління у відповідній сфері у містах (місті Києві), селищах, селах, об’єднаних територіальних громадах </t>
  </si>
  <si>
    <t>1210160</t>
  </si>
  <si>
    <t>Керівництво і управління у відповідній сфері у містах (місті Києві), селищах, селах, об’єднаних територіальних громадах</t>
  </si>
  <si>
    <t>2810160</t>
  </si>
  <si>
    <t>0910160</t>
  </si>
  <si>
    <t>3710160</t>
  </si>
  <si>
    <t>1010160</t>
  </si>
  <si>
    <t>Керівництво і управління у відповідній сфері у містах (місті Києві), селищах, селах, об’єднаних територіальних громадах, в тому числі:</t>
  </si>
  <si>
    <t>1011100</t>
  </si>
  <si>
    <t>1100</t>
  </si>
  <si>
    <t>0960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</si>
  <si>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</si>
  <si>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</si>
  <si>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</si>
  <si>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</si>
  <si>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</si>
  <si>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</si>
  <si>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</si>
  <si>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</si>
  <si>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</si>
  <si>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</si>
  <si>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</si>
  <si>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</si>
  <si>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</si>
  <si>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</si>
  <si>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</si>
  <si>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5031</t>
  </si>
  <si>
    <t>Утримання та навчально-тренувальна робота комунальних дитячо-юнацьких спортивних шкіл</t>
  </si>
  <si>
    <t>2910160</t>
  </si>
  <si>
    <t>2919800</t>
  </si>
  <si>
    <t>0610160</t>
  </si>
  <si>
    <t>0611090</t>
  </si>
  <si>
    <t>Надання позашкільної освіти закладами позашкільної освіти, заходи із позашкільної роботи з дітьми</t>
  </si>
  <si>
    <t>0611161</t>
  </si>
  <si>
    <t>1161</t>
  </si>
  <si>
    <t xml:space="preserve"> Забезпечення діяльності інших закладів у сфері освіти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</si>
  <si>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</si>
  <si>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</si>
  <si>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</si>
  <si>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</si>
  <si>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0611150</t>
  </si>
  <si>
    <t>1150</t>
  </si>
  <si>
    <t>Методичне забезпечення діяльності закладів освіти</t>
  </si>
  <si>
    <t>рішення Южноукраїнської міської ради №1702 від 03.10.2019</t>
  </si>
  <si>
    <t xml:space="preserve"> одержувач коштів - некомерційне комунальне підприємство "Южноукраїнський центр надання первинної медико - санітарної допомоги </t>
  </si>
  <si>
    <t>одержувач коштів -  некомерційне комунальне  підприємство "Южноукраїнський центр первинної медико - санітарної допомоги"</t>
  </si>
  <si>
    <t xml:space="preserve"> одержувач коштів - ФОП Качуровська Ж.Д. сімейний лікар</t>
  </si>
  <si>
    <t>1016030</t>
  </si>
  <si>
    <r>
      <t xml:space="preserve">Програма  підтримки органу  самоорганізації  населення кварталу №7 м.Южноукраїнська - "Управа МПЗ" на 2019-2020 роки", </t>
    </r>
    <r>
      <rPr>
        <sz val="12"/>
        <rFont val="Times New Roman"/>
        <family val="1"/>
        <charset val="204"/>
      </rPr>
      <t xml:space="preserve">у тому числі: </t>
    </r>
  </si>
  <si>
    <t>1216013</t>
  </si>
  <si>
    <t>6013</t>
  </si>
  <si>
    <t>1217691</t>
  </si>
  <si>
    <r>
      <t xml:space="preserve">Міська програма розвитку  дорожнього руху та його безпеки в місті Южноукраїнську  на 2018-2022 роки, </t>
    </r>
    <r>
      <rPr>
        <sz val="12"/>
        <rFont val="Times New Roman"/>
        <family val="1"/>
        <charset val="204"/>
      </rPr>
      <t xml:space="preserve">у тому числі: </t>
    </r>
  </si>
  <si>
    <t>одержувач бюджетних коштів - комунальне підприємство "Служба комунального господарства"- 8,827 тис.грн.</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</si>
  <si>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</si>
  <si>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одержувач коштів - КП Служба комунального господарства</t>
  </si>
  <si>
    <t>одержувачу бюджетних коштів - комунальному підприємству "Служба комунального господарства"</t>
  </si>
  <si>
    <t xml:space="preserve">одержувачу бюджетних коштів - комунальному підприємству "Критий ринок" </t>
  </si>
  <si>
    <t>одержувач бюджетних коштів - комунальному підприємству "Служба комунального господарства"</t>
  </si>
  <si>
    <t>одержувач коштів - некомерційне комунальне підприємство "Южноукраїнський центр надання первинної медико - санітарної допомоги"</t>
  </si>
  <si>
    <t>0817322</t>
  </si>
  <si>
    <t xml:space="preserve">влаштування мереж зливової каналізації на вул.Костянтинівська малоповерхової забудови м.Южноукраїнська -  одержувач бюджетних коштів - комунальне підприємство "Служба комунального господарства" </t>
  </si>
  <si>
    <t>0812151</t>
  </si>
  <si>
    <t>Забезпечення діяльності інших закладів у сфері охорони здоров’я</t>
  </si>
  <si>
    <t>2151</t>
  </si>
  <si>
    <t>Цільова  програма захисту населення і територій від надзвичайних ситуацій техногенного та природного  характеру  на 2018-2022 роки</t>
  </si>
  <si>
    <t>Надання спеціальної освіти мистецькими школами</t>
  </si>
  <si>
    <t>у т.ч. по одержувачу бюджетних коштів - комунальному підприємству "Служба комунального господарства" - 623 050 грн.)</t>
  </si>
  <si>
    <t xml:space="preserve">придбання та встановлення МАФ дитячих гральних елементів на прибудинковій території житлового будинку на вул.Набережна Енергетиків,3/ вул.Миру,2 - 50,0 тис.грн.; видалення окремих  сухостійних (аварійних) дерев - 49,5 тис.грн. (одержувач комунальне підприємство "Житлово-експлуатаційне об"єднання") </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</si>
  <si>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</si>
  <si>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</si>
  <si>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0210150</t>
  </si>
  <si>
    <t>0611170</t>
  </si>
  <si>
    <t>1170</t>
  </si>
  <si>
    <t>Забзпечення дільності інклюзивно-ресурсних центрів</t>
  </si>
  <si>
    <t>субвенція з міського бюджету державному на придбання робочих місць для працівників  Южноукраїнського відділення поліції Первомайського відділу ГУНП в Миколаївській області- 100,0 тис.грн., придбання компютерної та оргтехніки  для працівників відділу в м. Южноукраїнську управління Служби безпеки України в Миколаївській області - 63,0 тис.грн.</t>
  </si>
  <si>
    <t>цільова фінансова допомога  КП ТВКГ з  подолання тарифно - фінансових втрат   одержувач -комунальне підприємство "Теплопостачання та водо-каналізаційне господарство"</t>
  </si>
  <si>
    <t>гідродинамічне очищення та відкачка відкладень з КНС-3 за адресою вул.Миру,2    одержувач -комунальне підприємство "Теплопостачання та водо-каналізаційне господарство"</t>
  </si>
  <si>
    <t>поточний ремонт дорожнього покриття внутрішньоквартальних проїздів-                      (2 145,923 тис.грн.) та пішохідних доріжок -      (1 030,509тис.грн.)</t>
  </si>
  <si>
    <t>встановлення приладів обліку поливального водогону в кварталі №7 малоповерхової забудови м.Южноукраїнська -(247,846 тис.грн.), поточний ремонт колектора та трубопроводів розгалуження поливального водогону в кварталі №7 малоповерхової забудови м.Южноукраїнська - (180,632тис.грн.)</t>
  </si>
  <si>
    <t>благоустрій прибудинкової території житлових будинків - (60,0 тис.грн.), в т.ч.за адресами: прт.Незалежності,14 - 60,0 тис.грн.; придбання дитячого ігрового комплексу  за адресою  вул.Набережна Енергетиків,43 -(49,0 тис.грн.); поточний ремонт бетонованої пішохідної доріжки на прибудинковій території  житлового будинку на вул.Набережна Енергктиків,15,17 - (193,339тис.грн.); видалення сухостійних (аварійних) дерев - (48,0 тис.грн.); влаштування пандусів на бул.Шкільному в районі житлового будинку прт.Соборності,1 -(4,381тис.грн.)   та інші</t>
  </si>
  <si>
    <t>субвенція з міського бюджету державному на придбання засобів особистого захисту (захисних масок медичних, респіраторів, окулярів, термометрів, тощо) для 25-тої Державної пожежено-рятувальної частини ГУ ДСНС України в Миколаївській області- 65,0 тис.грн., Южноукраїнського відділення поліції Первомайського відділу ГУНП в Миколаївській області- 50,0 тис.грн., ПММ - 50,0 тис.грн., придбання спорядження для рятування і пошуку постраждалих на воді для 25-тої Державної пожежено-рятувальної частини ГУ ДСНС України в Миколаївській області- 150,0 тис.грн., придбання ПММ для забезпечення транспортом для дезінфекції обєктів для 25-тої Державної пожежено-рятувальної частини ГУ ДСНС України в Миколаївській області- 150,0 тис.грн.</t>
  </si>
  <si>
    <t>одержувач бюджетних коштів - комунальне підприємство "Служба комунального господарства"             - 3 681,946 тис.грн.</t>
  </si>
  <si>
    <t>одержувач бюджетних коштів - комунальне підприємство "Служба комунального господарства"  -                          24 780,14 тис.грн., у т.ч.: поточне утримання об"ектів благоустрою міста -                                                         20 443,422 тис.грн.,  поточний ремонт об"ектів благоустрою міста -  4 336,718 тис.грн.</t>
  </si>
  <si>
    <t>заміна вікон на металопластикові на 1-ому поверсі блоку №1 нежитлової будівлі комунальної власності за адресою бул.Цвіточний,4 та встановлення системи пожежної сигналізації та протипожежних металевих дверей в приміщенні нежитлової будівлі за адресою вул.Паркова,5 -(89, 424 тис.грн.); придбання машини дорожньої комбінованої зі змінним обладнанням (одержувач бюджетних коштів - комунальному підприємству "Служба комунального господарства") - ( 2 200,0 тис.грн.)</t>
  </si>
  <si>
    <t>Додаток №7                                                                                                                    до рішення Южноукраїнської міської ради                                         від ___17.12.____2020 №___18_____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</si>
</sst>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8" formatCode="#,##0.0"/>
  </numFmts>
  <fonts count="35" x14ac:knownFonts="1">
    <font>
      <sz val="10"/>
      <name val="Times New Roman"/>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0"/>
      <color indexed="8"/>
      <name val="Arial"/>
      <family val="2"/>
      <charset val="204"/>
    </font>
    <font>
      <b/>
      <sz val="12"/>
      <name val="Times New Roman"/>
      <family val="1"/>
      <charset val="204"/>
    </font>
    <font>
      <i/>
      <sz val="12"/>
      <name val="Times New Roman"/>
      <family val="1"/>
      <charset val="204"/>
    </font>
    <font>
      <b/>
      <sz val="10"/>
      <name val="Times New Roman"/>
      <family val="1"/>
      <charset val="204"/>
    </font>
    <font>
      <sz val="12"/>
      <color indexed="10"/>
      <name val="Times New Roman"/>
      <family val="1"/>
      <charset val="204"/>
    </font>
    <font>
      <sz val="18"/>
      <name val="Times New Roman"/>
      <family val="1"/>
      <charset val="204"/>
    </font>
    <font>
      <b/>
      <i/>
      <sz val="12"/>
      <name val="Times New Roman"/>
      <family val="1"/>
      <charset val="204"/>
    </font>
    <font>
      <sz val="12"/>
      <color indexed="8"/>
      <name val="Times New Roman"/>
      <family val="1"/>
      <charset val="204"/>
    </font>
    <font>
      <b/>
      <sz val="12"/>
      <color indexed="10"/>
      <name val="Times New Roman"/>
      <family val="1"/>
      <charset val="204"/>
    </font>
    <font>
      <sz val="16"/>
      <name val="Times New Roman"/>
      <family val="1"/>
      <charset val="204"/>
    </font>
    <font>
      <b/>
      <sz val="16"/>
      <name val="Times New Roman"/>
      <family val="1"/>
      <charset val="204"/>
    </font>
    <font>
      <sz val="11"/>
      <name val="Times New Roman"/>
      <family val="1"/>
      <charset val="204"/>
    </font>
    <font>
      <u/>
      <sz val="16"/>
      <name val="Times New Roman"/>
      <family val="1"/>
      <charset val="204"/>
    </font>
    <font>
      <sz val="14"/>
      <name val="Times New Roman"/>
      <family val="1"/>
      <charset val="204"/>
    </font>
    <font>
      <b/>
      <sz val="11"/>
      <name val="Times New Roman"/>
      <family val="1"/>
      <charset val="204"/>
    </font>
    <font>
      <vertAlign val="superscript"/>
      <sz val="11"/>
      <name val="Times New Roman"/>
      <family val="1"/>
      <charset val="204"/>
    </font>
    <font>
      <sz val="20"/>
      <name val="Times New Roman"/>
      <family val="1"/>
      <charset val="204"/>
    </font>
    <font>
      <sz val="22"/>
      <name val="Times New Roman"/>
      <family val="1"/>
      <charset val="204"/>
    </font>
    <font>
      <sz val="12"/>
      <color theme="1"/>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6">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6"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169">
    <xf numFmtId="0" fontId="0" fillId="0" borderId="0" xfId="0"/>
    <xf numFmtId="0" fontId="15" fillId="0" borderId="5" xfId="0" applyNumberFormat="1" applyFont="1" applyFill="1" applyBorder="1" applyAlignment="1" applyProtection="1">
      <alignment horizontal="center" vertical="center" wrapText="1"/>
    </xf>
    <xf numFmtId="0" fontId="1" fillId="0" borderId="0" xfId="0" applyNumberFormat="1" applyFont="1" applyFill="1" applyAlignment="1" applyProtection="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0" fontId="19" fillId="0" borderId="0" xfId="0" applyNumberFormat="1" applyFont="1" applyFill="1" applyAlignment="1" applyProtection="1"/>
    <xf numFmtId="0" fontId="19" fillId="0" borderId="0" xfId="0" applyFont="1" applyFill="1"/>
    <xf numFmtId="0" fontId="25" fillId="0" borderId="0" xfId="0" applyNumberFormat="1" applyFont="1" applyFill="1" applyAlignment="1" applyProtection="1"/>
    <xf numFmtId="0" fontId="25" fillId="0" borderId="0" xfId="0" applyFont="1" applyFill="1" applyBorder="1" applyAlignment="1">
      <alignment horizontal="center"/>
    </xf>
    <xf numFmtId="0" fontId="25" fillId="0" borderId="6" xfId="0" applyNumberFormat="1" applyFont="1" applyFill="1" applyBorder="1" applyAlignment="1" applyProtection="1">
      <alignment horizontal="right" vertical="center"/>
    </xf>
    <xf numFmtId="0" fontId="26" fillId="0" borderId="0" xfId="0" applyNumberFormat="1" applyFont="1" applyFill="1" applyBorder="1" applyAlignment="1" applyProtection="1">
      <alignment horizontal="center" vertical="center" wrapText="1"/>
    </xf>
    <xf numFmtId="0" fontId="25" fillId="0" borderId="0" xfId="0" applyNumberFormat="1" applyFont="1" applyFill="1" applyAlignment="1" applyProtection="1">
      <alignment vertical="center"/>
    </xf>
    <xf numFmtId="0" fontId="25" fillId="0" borderId="6" xfId="0" applyFont="1" applyFill="1" applyBorder="1" applyAlignment="1">
      <alignment horizontal="center" vertical="center"/>
    </xf>
    <xf numFmtId="0" fontId="25" fillId="0" borderId="0" xfId="0" applyNumberFormat="1" applyFont="1" applyFill="1" applyAlignment="1" applyProtection="1">
      <alignment horizontal="justify"/>
    </xf>
    <xf numFmtId="0" fontId="26" fillId="0" borderId="0" xfId="0" applyNumberFormat="1" applyFont="1" applyFill="1" applyBorder="1" applyAlignment="1" applyProtection="1">
      <alignment horizontal="justify" vertical="center" wrapText="1"/>
    </xf>
    <xf numFmtId="0" fontId="25" fillId="0" borderId="0" xfId="0" applyFont="1" applyFill="1" applyBorder="1" applyAlignment="1">
      <alignment horizontal="justify"/>
    </xf>
    <xf numFmtId="0" fontId="15" fillId="0" borderId="5" xfId="0" applyNumberFormat="1" applyFont="1" applyFill="1" applyBorder="1" applyAlignment="1" applyProtection="1">
      <alignment horizontal="justify" vertical="center" wrapText="1"/>
    </xf>
    <xf numFmtId="0" fontId="1" fillId="0" borderId="0" xfId="0" applyNumberFormat="1" applyFont="1" applyFill="1" applyAlignment="1" applyProtection="1">
      <alignment horizontal="justify"/>
    </xf>
    <xf numFmtId="0" fontId="25"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justify" vertical="center" wrapText="1"/>
    </xf>
    <xf numFmtId="0" fontId="15" fillId="0" borderId="7" xfId="0" applyFont="1" applyFill="1" applyBorder="1" applyAlignment="1">
      <alignment horizontal="left" vertical="center" wrapText="1"/>
    </xf>
    <xf numFmtId="49" fontId="15"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pplyProtection="1">
      <alignment horizontal="left" vertical="center" wrapText="1"/>
    </xf>
    <xf numFmtId="49" fontId="17" fillId="0" borderId="7" xfId="0" applyNumberFormat="1" applyFont="1" applyFill="1" applyBorder="1" applyAlignment="1" applyProtection="1">
      <alignment horizontal="justify" vertical="center" wrapText="1"/>
    </xf>
    <xf numFmtId="3" fontId="17" fillId="0" borderId="7" xfId="0" applyNumberFormat="1" applyFont="1" applyFill="1" applyBorder="1" applyAlignment="1" applyProtection="1">
      <alignment horizontal="center" vertical="center" wrapText="1"/>
    </xf>
    <xf numFmtId="3" fontId="15" fillId="0" borderId="7" xfId="0" applyNumberFormat="1" applyFont="1" applyFill="1" applyBorder="1" applyAlignment="1" applyProtection="1">
      <alignment horizontal="center" vertical="center" wrapText="1"/>
    </xf>
    <xf numFmtId="49" fontId="17" fillId="0" borderId="7"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15" fillId="0" borderId="7" xfId="0" applyFont="1" applyFill="1" applyBorder="1" applyAlignment="1">
      <alignment horizontal="left" wrapText="1"/>
    </xf>
    <xf numFmtId="0" fontId="23" fillId="0" borderId="7" xfId="0" applyFont="1" applyFill="1" applyBorder="1" applyAlignment="1">
      <alignment horizontal="left" vertical="center" wrapText="1"/>
    </xf>
    <xf numFmtId="49" fontId="15" fillId="0" borderId="7" xfId="0" applyNumberFormat="1" applyFont="1" applyFill="1" applyBorder="1" applyAlignment="1">
      <alignment horizontal="justify" wrapText="1"/>
    </xf>
    <xf numFmtId="0" fontId="15" fillId="0" borderId="7" xfId="0" applyFont="1" applyFill="1" applyBorder="1" applyAlignment="1">
      <alignment vertical="center" wrapText="1"/>
    </xf>
    <xf numFmtId="0" fontId="17" fillId="0" borderId="7" xfId="0" applyNumberFormat="1" applyFont="1" applyFill="1" applyBorder="1" applyAlignment="1" applyProtection="1">
      <alignment horizontal="center" vertical="center" wrapText="1"/>
    </xf>
    <xf numFmtId="0" fontId="15" fillId="0" borderId="7" xfId="0" applyFont="1" applyFill="1" applyBorder="1" applyAlignment="1">
      <alignment wrapText="1"/>
    </xf>
    <xf numFmtId="0" fontId="19" fillId="0" borderId="7" xfId="0" applyFont="1" applyFill="1" applyBorder="1" applyAlignment="1">
      <alignment vertical="center"/>
    </xf>
    <xf numFmtId="0" fontId="15" fillId="0" borderId="7" xfId="0" applyNumberFormat="1" applyFont="1" applyFill="1" applyBorder="1" applyAlignment="1" applyProtection="1">
      <alignment horizontal="left" vertical="center" wrapText="1"/>
    </xf>
    <xf numFmtId="49" fontId="15" fillId="0" borderId="7" xfId="0" applyNumberFormat="1" applyFont="1" applyFill="1" applyBorder="1" applyAlignment="1">
      <alignment horizontal="center" vertical="center" wrapText="1"/>
    </xf>
    <xf numFmtId="0" fontId="15" fillId="0" borderId="7" xfId="0" applyNumberFormat="1" applyFont="1" applyFill="1" applyBorder="1" applyAlignment="1" applyProtection="1">
      <alignment horizontal="justify"/>
    </xf>
    <xf numFmtId="0" fontId="15" fillId="0" borderId="7" xfId="0" applyNumberFormat="1" applyFont="1" applyFill="1" applyBorder="1" applyAlignment="1" applyProtection="1"/>
    <xf numFmtId="3" fontId="15" fillId="0" borderId="7"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right" vertical="center" wrapText="1"/>
    </xf>
    <xf numFmtId="0" fontId="15" fillId="0" borderId="7" xfId="0" applyNumberFormat="1" applyFont="1" applyFill="1" applyBorder="1" applyAlignment="1" applyProtection="1">
      <alignment horizontal="justify" wrapText="1"/>
    </xf>
    <xf numFmtId="0" fontId="15" fillId="0" borderId="7" xfId="0" applyFont="1" applyFill="1" applyBorder="1" applyAlignment="1">
      <alignment horizontal="center" vertical="center" wrapText="1"/>
    </xf>
    <xf numFmtId="0" fontId="15" fillId="0" borderId="7" xfId="0" quotePrefix="1" applyNumberFormat="1" applyFont="1" applyFill="1" applyBorder="1" applyAlignment="1" applyProtection="1">
      <alignment horizontal="justify" vertical="center" wrapText="1"/>
    </xf>
    <xf numFmtId="0" fontId="17" fillId="0" borderId="7" xfId="0" quotePrefix="1" applyNumberFormat="1" applyFont="1" applyFill="1" applyBorder="1" applyAlignment="1" applyProtection="1">
      <alignment horizontal="justify" vertical="center" wrapText="1"/>
    </xf>
    <xf numFmtId="0" fontId="1" fillId="0" borderId="7" xfId="0" applyFont="1" applyFill="1" applyBorder="1" applyAlignment="1">
      <alignment vertical="center"/>
    </xf>
    <xf numFmtId="0" fontId="1" fillId="0" borderId="7" xfId="0" applyFont="1" applyFill="1" applyBorder="1"/>
    <xf numFmtId="49" fontId="15" fillId="0" borderId="7" xfId="0" applyNumberFormat="1" applyFont="1" applyFill="1" applyBorder="1" applyAlignment="1" applyProtection="1">
      <alignment horizontal="center" vertical="center" wrapText="1"/>
      <protection locked="0"/>
    </xf>
    <xf numFmtId="208" fontId="17" fillId="0" borderId="7" xfId="48" applyNumberFormat="1" applyFont="1" applyFill="1" applyBorder="1" applyAlignment="1">
      <alignment horizontal="center" vertical="top"/>
    </xf>
    <xf numFmtId="3" fontId="17" fillId="0" borderId="7" xfId="48" applyNumberFormat="1" applyFont="1" applyFill="1" applyBorder="1" applyAlignment="1">
      <alignment horizontal="center" vertical="center"/>
    </xf>
    <xf numFmtId="49" fontId="34" fillId="0" borderId="7" xfId="0" applyNumberFormat="1" applyFont="1" applyFill="1" applyBorder="1" applyAlignment="1">
      <alignment horizontal="center" vertical="center"/>
    </xf>
    <xf numFmtId="0" fontId="34" fillId="0" borderId="7" xfId="0" applyFont="1" applyFill="1" applyBorder="1" applyAlignment="1">
      <alignment vertical="center" wrapText="1"/>
    </xf>
    <xf numFmtId="208" fontId="15" fillId="0" borderId="7" xfId="48" applyNumberFormat="1" applyFont="1" applyFill="1" applyBorder="1" applyAlignment="1">
      <alignment horizontal="center" vertical="top" wrapText="1"/>
    </xf>
    <xf numFmtId="3" fontId="15" fillId="0" borderId="7" xfId="48"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wrapText="1"/>
    </xf>
    <xf numFmtId="49" fontId="15" fillId="0" borderId="8"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7" xfId="0" applyFont="1" applyFill="1" applyBorder="1" applyAlignment="1">
      <alignment horizontal="justify" wrapText="1"/>
    </xf>
    <xf numFmtId="0" fontId="15" fillId="0" borderId="8" xfId="0" applyNumberFormat="1" applyFont="1" applyFill="1" applyBorder="1" applyAlignment="1" applyProtection="1">
      <alignment horizontal="right" vertical="center" wrapText="1"/>
    </xf>
    <xf numFmtId="49"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49"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208" fontId="15" fillId="0" borderId="7" xfId="48" applyNumberFormat="1" applyFont="1" applyFill="1" applyBorder="1" applyAlignment="1">
      <alignment horizontal="center" vertical="top"/>
    </xf>
    <xf numFmtId="49" fontId="24" fillId="0" borderId="7" xfId="0" applyNumberFormat="1" applyFont="1" applyFill="1" applyBorder="1" applyAlignment="1" applyProtection="1">
      <alignment horizontal="center" vertical="center" wrapText="1"/>
      <protection locked="0"/>
    </xf>
    <xf numFmtId="0" fontId="17" fillId="0" borderId="7" xfId="0" applyFont="1" applyFill="1" applyBorder="1" applyAlignment="1">
      <alignment horizontal="left" vertical="center" wrapText="1"/>
    </xf>
    <xf numFmtId="2" fontId="15" fillId="0" borderId="7" xfId="0" applyNumberFormat="1" applyFont="1" applyFill="1" applyBorder="1" applyAlignment="1">
      <alignment horizontal="justify" wrapText="1"/>
    </xf>
    <xf numFmtId="0" fontId="27" fillId="0" borderId="7" xfId="0" applyFont="1" applyFill="1" applyBorder="1" applyAlignment="1">
      <alignment wrapText="1"/>
    </xf>
    <xf numFmtId="0" fontId="27" fillId="0" borderId="7" xfId="0" applyFont="1" applyFill="1" applyBorder="1" applyAlignment="1">
      <alignment horizontal="left" vertical="center" wrapText="1"/>
    </xf>
    <xf numFmtId="0" fontId="27" fillId="0" borderId="7" xfId="0" applyFont="1" applyFill="1" applyBorder="1" applyAlignment="1">
      <alignment horizontal="left" wrapText="1"/>
    </xf>
    <xf numFmtId="0" fontId="15" fillId="0" borderId="8" xfId="0" applyNumberFormat="1" applyFont="1" applyFill="1" applyBorder="1" applyAlignment="1" applyProtection="1">
      <alignment horizontal="justify" vertical="center" wrapText="1"/>
    </xf>
    <xf numFmtId="3" fontId="15" fillId="0" borderId="8"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justify" vertical="center" wrapText="1"/>
    </xf>
    <xf numFmtId="3" fontId="15" fillId="0" borderId="6"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xf numFmtId="49" fontId="21" fillId="0" borderId="0" xfId="0" applyNumberFormat="1" applyFont="1" applyFill="1" applyBorder="1" applyAlignment="1" applyProtection="1">
      <alignment vertical="top"/>
    </xf>
    <xf numFmtId="0" fontId="25" fillId="0" borderId="0" xfId="0" applyFont="1" applyFill="1" applyBorder="1" applyAlignment="1"/>
    <xf numFmtId="0" fontId="26" fillId="0" borderId="0" xfId="0" applyFont="1" applyFill="1" applyBorder="1" applyAlignment="1"/>
    <xf numFmtId="0" fontId="26" fillId="0" borderId="0" xfId="0" applyFont="1" applyFill="1" applyBorder="1" applyAlignment="1">
      <alignment horizontal="left"/>
    </xf>
    <xf numFmtId="0" fontId="30" fillId="0" borderId="7" xfId="0" applyFont="1" applyFill="1" applyBorder="1" applyAlignment="1">
      <alignment horizontal="left" vertical="center" wrapText="1"/>
    </xf>
    <xf numFmtId="0" fontId="15" fillId="0" borderId="7" xfId="0" applyFont="1" applyFill="1" applyBorder="1" applyAlignment="1">
      <alignment horizontal="left" vertical="center" wrapText="1" shrinkToFit="1"/>
    </xf>
    <xf numFmtId="0" fontId="15" fillId="0" borderId="7" xfId="28" applyFont="1" applyFill="1" applyBorder="1" applyAlignment="1" applyProtection="1">
      <alignment horizontal="justify" wrapText="1"/>
    </xf>
    <xf numFmtId="0" fontId="17" fillId="0" borderId="7" xfId="28" applyFont="1" applyFill="1" applyBorder="1" applyAlignment="1" applyProtection="1">
      <alignment horizontal="justify" wrapText="1"/>
    </xf>
    <xf numFmtId="0" fontId="2" fillId="0" borderId="0" xfId="0" applyNumberFormat="1" applyFont="1" applyFill="1" applyAlignment="1" applyProtection="1"/>
    <xf numFmtId="49" fontId="29" fillId="0" borderId="7"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justify" vertical="center" wrapText="1"/>
    </xf>
    <xf numFmtId="0" fontId="2" fillId="0" borderId="7" xfId="0" applyNumberFormat="1" applyFont="1" applyFill="1" applyBorder="1" applyAlignment="1" applyProtection="1">
      <alignment horizontal="center" vertical="center" wrapText="1"/>
    </xf>
    <xf numFmtId="0" fontId="2" fillId="0" borderId="0" xfId="0" applyFont="1" applyFill="1"/>
    <xf numFmtId="49" fontId="22" fillId="0" borderId="7" xfId="0" applyNumberFormat="1" applyFont="1" applyFill="1" applyBorder="1" applyAlignment="1">
      <alignment horizontal="center" vertical="center" wrapText="1"/>
    </xf>
    <xf numFmtId="0" fontId="30" fillId="0" borderId="7" xfId="0" applyFont="1" applyFill="1" applyBorder="1" applyAlignment="1">
      <alignment horizontal="left" wrapText="1"/>
    </xf>
    <xf numFmtId="0" fontId="29" fillId="0" borderId="7"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justify" vertical="center" wrapText="1"/>
    </xf>
    <xf numFmtId="0" fontId="30" fillId="0" borderId="7" xfId="0" applyFont="1" applyFill="1" applyBorder="1" applyAlignment="1">
      <alignment wrapText="1"/>
    </xf>
    <xf numFmtId="49" fontId="17"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right" vertical="center" wrapText="1"/>
    </xf>
    <xf numFmtId="0" fontId="2" fillId="0" borderId="7" xfId="0" applyFont="1" applyFill="1" applyBorder="1" applyAlignment="1">
      <alignment horizontal="center" vertical="center" wrapText="1"/>
    </xf>
    <xf numFmtId="208" fontId="15" fillId="0" borderId="7" xfId="48" applyNumberFormat="1" applyFont="1" applyFill="1" applyBorder="1" applyAlignment="1">
      <alignment horizontal="center" vertical="center"/>
    </xf>
    <xf numFmtId="0" fontId="29" fillId="0" borderId="7" xfId="0" applyNumberFormat="1" applyFont="1" applyFill="1" applyBorder="1" applyAlignment="1" applyProtection="1">
      <alignment horizontal="justify" vertical="center" wrapText="1"/>
    </xf>
    <xf numFmtId="208" fontId="29" fillId="0" borderId="7" xfId="48" applyNumberFormat="1" applyFont="1" applyFill="1" applyBorder="1" applyAlignment="1">
      <alignment horizontal="center" vertical="top"/>
    </xf>
    <xf numFmtId="3" fontId="2" fillId="0" borderId="7" xfId="48" applyNumberFormat="1" applyFont="1" applyFill="1" applyBorder="1" applyAlignment="1">
      <alignment horizontal="center" vertical="center"/>
    </xf>
    <xf numFmtId="208" fontId="17" fillId="0" borderId="7" xfId="48" applyNumberFormat="1" applyFont="1" applyFill="1" applyBorder="1" applyAlignment="1">
      <alignment horizontal="center" vertical="center"/>
    </xf>
    <xf numFmtId="208" fontId="2" fillId="0" borderId="7" xfId="48" applyNumberFormat="1" applyFont="1" applyFill="1" applyBorder="1" applyAlignment="1">
      <alignment horizontal="center" vertical="top"/>
    </xf>
    <xf numFmtId="49" fontId="17" fillId="0" borderId="7" xfId="0" applyNumberFormat="1" applyFont="1" applyFill="1" applyBorder="1" applyAlignment="1">
      <alignment horizontal="center" vertical="center"/>
    </xf>
    <xf numFmtId="0" fontId="17" fillId="0" borderId="7" xfId="0" applyNumberFormat="1" applyFont="1" applyFill="1" applyBorder="1" applyAlignment="1" applyProtection="1">
      <alignment horizontal="left" vertical="center" wrapText="1"/>
    </xf>
    <xf numFmtId="0" fontId="1" fillId="0" borderId="0" xfId="0" applyFont="1" applyFill="1" applyAlignment="1"/>
    <xf numFmtId="0" fontId="25" fillId="0" borderId="0" xfId="0" applyFont="1" applyFill="1"/>
    <xf numFmtId="0" fontId="25" fillId="0" borderId="0" xfId="0" applyFont="1" applyFill="1" applyAlignment="1">
      <alignment wrapText="1"/>
    </xf>
    <xf numFmtId="49" fontId="15" fillId="0" borderId="0" xfId="0" applyNumberFormat="1"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wrapText="1"/>
    </xf>
    <xf numFmtId="49" fontId="15" fillId="0" borderId="7" xfId="0" applyNumberFormat="1" applyFont="1" applyFill="1" applyBorder="1" applyAlignment="1">
      <alignment horizontal="center"/>
    </xf>
    <xf numFmtId="49" fontId="15" fillId="0" borderId="7" xfId="0" applyNumberFormat="1" applyFont="1" applyFill="1" applyBorder="1" applyAlignment="1">
      <alignment horizontal="center" wrapText="1"/>
    </xf>
    <xf numFmtId="1" fontId="15" fillId="0" borderId="7" xfId="0" applyNumberFormat="1" applyFont="1" applyFill="1" applyBorder="1" applyAlignment="1">
      <alignment wrapText="1"/>
    </xf>
    <xf numFmtId="49" fontId="15" fillId="0" borderId="6" xfId="0" applyNumberFormat="1" applyFont="1" applyFill="1" applyBorder="1" applyAlignment="1">
      <alignment horizontal="center"/>
    </xf>
    <xf numFmtId="0" fontId="15" fillId="0" borderId="6" xfId="0" applyFont="1" applyFill="1" applyBorder="1" applyAlignment="1">
      <alignment wrapText="1"/>
    </xf>
    <xf numFmtId="0" fontId="17" fillId="0" borderId="7" xfId="0" applyFont="1" applyFill="1" applyBorder="1" applyAlignment="1">
      <alignment horizontal="justify"/>
    </xf>
    <xf numFmtId="0" fontId="15" fillId="0" borderId="7" xfId="0" applyFont="1" applyFill="1" applyBorder="1" applyAlignment="1">
      <alignment horizontal="center" wrapText="1"/>
    </xf>
    <xf numFmtId="4" fontId="15" fillId="0" borderId="7" xfId="0" applyNumberFormat="1" applyFont="1" applyFill="1" applyBorder="1" applyAlignment="1">
      <alignment horizontal="center" vertical="center"/>
    </xf>
    <xf numFmtId="4" fontId="17" fillId="0" borderId="7" xfId="0" applyNumberFormat="1" applyFont="1" applyFill="1" applyBorder="1" applyAlignment="1">
      <alignment horizontal="center" vertical="center"/>
    </xf>
    <xf numFmtId="49" fontId="15" fillId="0" borderId="0" xfId="0" applyNumberFormat="1" applyFont="1" applyFill="1" applyBorder="1" applyAlignment="1">
      <alignment horizontal="center" wrapText="1"/>
    </xf>
    <xf numFmtId="49" fontId="15" fillId="0" borderId="6" xfId="0" applyNumberFormat="1" applyFont="1" applyFill="1" applyBorder="1" applyAlignment="1" applyProtection="1">
      <alignment horizontal="justify" vertical="center" wrapText="1"/>
    </xf>
    <xf numFmtId="49" fontId="15" fillId="0" borderId="0" xfId="0" applyNumberFormat="1" applyFont="1" applyFill="1" applyBorder="1" applyAlignment="1">
      <alignment horizontal="center" vertical="center"/>
    </xf>
    <xf numFmtId="0" fontId="15" fillId="0" borderId="0" xfId="0" applyNumberFormat="1" applyFont="1" applyFill="1" applyAlignment="1" applyProtection="1"/>
    <xf numFmtId="0" fontId="15" fillId="0" borderId="0" xfId="0" applyFont="1" applyFill="1"/>
    <xf numFmtId="4" fontId="15" fillId="0" borderId="7"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lef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7" xfId="0" applyFont="1" applyFill="1" applyBorder="1" applyAlignment="1">
      <alignment horizontal="center" vertical="top" wrapText="1"/>
    </xf>
    <xf numFmtId="0" fontId="15" fillId="0" borderId="7" xfId="0" applyFont="1" applyFill="1" applyBorder="1" applyAlignment="1">
      <alignment horizontal="justify"/>
    </xf>
    <xf numFmtId="0" fontId="15" fillId="0" borderId="7" xfId="0" applyFont="1" applyFill="1" applyBorder="1" applyAlignment="1">
      <alignment horizontal="justify" vertical="center" wrapText="1"/>
    </xf>
    <xf numFmtId="0" fontId="15" fillId="0" borderId="0" xfId="0" applyFont="1" applyFill="1" applyAlignment="1">
      <alignment horizontal="left" vertical="center" wrapText="1"/>
    </xf>
    <xf numFmtId="4" fontId="2" fillId="0" borderId="7" xfId="0" applyNumberFormat="1" applyFont="1" applyFill="1" applyBorder="1" applyAlignment="1" applyProtection="1">
      <alignment horizontal="center" vertical="center" wrapText="1"/>
    </xf>
    <xf numFmtId="4" fontId="2" fillId="0" borderId="7" xfId="48" applyNumberFormat="1" applyFont="1" applyFill="1" applyBorder="1" applyAlignment="1">
      <alignment horizontal="center" vertical="center"/>
    </xf>
    <xf numFmtId="4" fontId="17" fillId="0" borderId="7" xfId="48" applyNumberFormat="1" applyFont="1" applyFill="1" applyBorder="1" applyAlignment="1">
      <alignment horizontal="center" vertical="center"/>
    </xf>
    <xf numFmtId="4" fontId="17" fillId="0" borderId="7" xfId="0" applyNumberFormat="1" applyFont="1" applyFill="1" applyBorder="1" applyAlignment="1" applyProtection="1">
      <alignment horizontal="center" vertical="center" wrapText="1"/>
    </xf>
    <xf numFmtId="4" fontId="15" fillId="0" borderId="6"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top"/>
    </xf>
    <xf numFmtId="0" fontId="33" fillId="0" borderId="0" xfId="0" applyNumberFormat="1" applyFont="1" applyFill="1" applyAlignment="1" applyProtection="1">
      <alignment horizontal="center"/>
    </xf>
    <xf numFmtId="0" fontId="28" fillId="0" borderId="0" xfId="0" applyNumberFormat="1" applyFont="1" applyFill="1" applyBorder="1" applyAlignment="1" applyProtection="1">
      <alignment horizontal="center"/>
    </xf>
    <xf numFmtId="0" fontId="31" fillId="0" borderId="8" xfId="0" applyNumberFormat="1" applyFont="1" applyFill="1" applyBorder="1" applyAlignment="1" applyProtection="1">
      <alignment horizontal="left" vertical="center" wrapText="1"/>
    </xf>
    <xf numFmtId="0" fontId="27" fillId="0" borderId="8" xfId="0" applyNumberFormat="1" applyFont="1" applyFill="1" applyBorder="1" applyAlignment="1" applyProtection="1">
      <alignment horizontal="left" vertical="center" wrapText="1"/>
    </xf>
    <xf numFmtId="0" fontId="32" fillId="0" borderId="0" xfId="0" applyNumberFormat="1" applyFont="1" applyFill="1" applyAlignment="1" applyProtection="1">
      <alignment horizontal="left" vertical="center" wrapText="1"/>
    </xf>
    <xf numFmtId="0" fontId="15" fillId="0" borderId="5" xfId="0" applyNumberFormat="1" applyFont="1" applyFill="1" applyBorder="1" applyAlignment="1" applyProtection="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cellXfs>
  <cellStyles count="5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2" xfId="51"/>
    <cellStyle name="Плохой" xfId="52"/>
    <cellStyle name="Пояснение" xfId="53"/>
    <cellStyle name="Примечание" xfId="54"/>
    <cellStyle name="Стиль 1" xfId="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9"/>
  <sheetViews>
    <sheetView tabSelected="1" view="pageBreakPreview" topLeftCell="C3" zoomScale="60" zoomScaleNormal="60" workbookViewId="0">
      <selection activeCell="J8" sqref="J8"/>
    </sheetView>
  </sheetViews>
  <sheetFormatPr defaultColWidth="9.1640625" defaultRowHeight="12.75" x14ac:dyDescent="0.2"/>
  <cols>
    <col min="1" max="1" width="6.6640625" style="2" hidden="1" customWidth="1"/>
    <col min="2" max="2" width="13.83203125" style="5" customWidth="1"/>
    <col min="3" max="3" width="13.33203125" style="5" customWidth="1"/>
    <col min="4" max="4" width="14" style="5" customWidth="1"/>
    <col min="5" max="5" width="41.6640625" style="5" customWidth="1"/>
    <col min="6" max="6" width="50" style="19" customWidth="1"/>
    <col min="7" max="7" width="25.83203125" style="2" customWidth="1"/>
    <col min="8" max="8" width="25.83203125" style="5" customWidth="1"/>
    <col min="9" max="9" width="27.6640625" style="5" customWidth="1"/>
    <col min="10" max="10" width="26.1640625" style="5" customWidth="1"/>
    <col min="11" max="11" width="22.83203125" style="5" customWidth="1"/>
    <col min="12" max="16384" width="9.1640625" style="3"/>
  </cols>
  <sheetData>
    <row r="1" spans="1:11" ht="81.599999999999994" customHeight="1" x14ac:dyDescent="0.3">
      <c r="B1" s="13"/>
      <c r="C1" s="13"/>
      <c r="D1" s="13"/>
      <c r="E1" s="13"/>
      <c r="F1" s="15"/>
      <c r="G1" s="9"/>
      <c r="H1" s="165" t="s">
        <v>406</v>
      </c>
      <c r="I1" s="165"/>
      <c r="J1" s="165"/>
      <c r="K1" s="165"/>
    </row>
    <row r="2" spans="1:11" ht="42" customHeight="1" x14ac:dyDescent="0.4">
      <c r="B2" s="161" t="s">
        <v>254</v>
      </c>
      <c r="C2" s="161"/>
      <c r="D2" s="161"/>
      <c r="E2" s="161"/>
      <c r="F2" s="161"/>
      <c r="G2" s="161"/>
      <c r="H2" s="161"/>
      <c r="I2" s="161"/>
      <c r="J2" s="161"/>
      <c r="K2" s="161"/>
    </row>
    <row r="3" spans="1:11" s="6" customFormat="1" ht="33" customHeight="1" x14ac:dyDescent="0.2">
      <c r="A3" s="5"/>
      <c r="B3" s="155" t="s">
        <v>255</v>
      </c>
      <c r="C3" s="155"/>
      <c r="D3" s="155"/>
      <c r="E3" s="155"/>
      <c r="F3" s="155"/>
      <c r="G3" s="155"/>
      <c r="H3" s="155"/>
      <c r="I3" s="155"/>
      <c r="J3" s="155"/>
      <c r="K3" s="155"/>
    </row>
    <row r="4" spans="1:11" s="6" customFormat="1" ht="33" customHeight="1" x14ac:dyDescent="0.3">
      <c r="A4" s="5"/>
      <c r="B4" s="162">
        <v>14205100000</v>
      </c>
      <c r="C4" s="162"/>
      <c r="D4" s="12"/>
      <c r="E4" s="12"/>
      <c r="F4" s="16"/>
      <c r="G4" s="12"/>
      <c r="H4" s="12"/>
      <c r="I4" s="12"/>
      <c r="J4" s="12"/>
      <c r="K4" s="12"/>
    </row>
    <row r="5" spans="1:11" ht="20.25" x14ac:dyDescent="0.3">
      <c r="B5" s="160" t="s">
        <v>256</v>
      </c>
      <c r="C5" s="160"/>
      <c r="D5" s="14"/>
      <c r="E5" s="14"/>
      <c r="F5" s="17"/>
      <c r="G5" s="10"/>
      <c r="H5" s="20"/>
      <c r="I5" s="20"/>
      <c r="J5" s="21"/>
      <c r="K5" s="11" t="s">
        <v>48</v>
      </c>
    </row>
    <row r="6" spans="1:11" ht="28.9" customHeight="1" x14ac:dyDescent="0.2">
      <c r="A6" s="4"/>
      <c r="B6" s="158" t="s">
        <v>220</v>
      </c>
      <c r="C6" s="158" t="s">
        <v>221</v>
      </c>
      <c r="D6" s="158" t="s">
        <v>166</v>
      </c>
      <c r="E6" s="156" t="s">
        <v>222</v>
      </c>
      <c r="F6" s="153" t="s">
        <v>7</v>
      </c>
      <c r="G6" s="167" t="s">
        <v>223</v>
      </c>
      <c r="H6" s="166" t="s">
        <v>4</v>
      </c>
      <c r="I6" s="166" t="s">
        <v>0</v>
      </c>
      <c r="J6" s="166" t="s">
        <v>1</v>
      </c>
      <c r="K6" s="166"/>
    </row>
    <row r="7" spans="1:11" s="6" customFormat="1" ht="115.5" customHeight="1" x14ac:dyDescent="0.2">
      <c r="A7" s="5"/>
      <c r="B7" s="159"/>
      <c r="C7" s="159"/>
      <c r="D7" s="159"/>
      <c r="E7" s="157"/>
      <c r="F7" s="154"/>
      <c r="G7" s="168"/>
      <c r="H7" s="166"/>
      <c r="I7" s="166"/>
      <c r="J7" s="1" t="s">
        <v>5</v>
      </c>
      <c r="K7" s="1" t="s">
        <v>3</v>
      </c>
    </row>
    <row r="8" spans="1:11" ht="15.75" x14ac:dyDescent="0.2">
      <c r="B8" s="1">
        <v>1</v>
      </c>
      <c r="C8" s="1">
        <v>2</v>
      </c>
      <c r="D8" s="1">
        <v>3</v>
      </c>
      <c r="E8" s="1">
        <v>4</v>
      </c>
      <c r="F8" s="18">
        <v>5</v>
      </c>
      <c r="G8" s="1">
        <v>6</v>
      </c>
      <c r="H8" s="1">
        <v>7</v>
      </c>
      <c r="I8" s="1">
        <v>8</v>
      </c>
      <c r="J8" s="1">
        <v>9</v>
      </c>
      <c r="K8" s="1">
        <v>10</v>
      </c>
    </row>
    <row r="9" spans="1:11" ht="49.5" customHeight="1" x14ac:dyDescent="0.2">
      <c r="B9" s="22" t="s">
        <v>42</v>
      </c>
      <c r="C9" s="23"/>
      <c r="D9" s="23"/>
      <c r="E9" s="90" t="s">
        <v>257</v>
      </c>
      <c r="F9" s="24"/>
      <c r="G9" s="23"/>
      <c r="H9" s="23"/>
      <c r="I9" s="23"/>
      <c r="J9" s="23"/>
      <c r="K9" s="23"/>
    </row>
    <row r="10" spans="1:11" ht="50.25" customHeight="1" x14ac:dyDescent="0.2">
      <c r="B10" s="22" t="s">
        <v>43</v>
      </c>
      <c r="C10" s="22"/>
      <c r="D10" s="22"/>
      <c r="E10" s="79" t="s">
        <v>257</v>
      </c>
      <c r="F10" s="26"/>
      <c r="G10" s="23"/>
      <c r="H10" s="23"/>
      <c r="I10" s="23"/>
      <c r="J10" s="23"/>
      <c r="K10" s="23"/>
    </row>
    <row r="11" spans="1:11" ht="105" customHeight="1" x14ac:dyDescent="0.25">
      <c r="B11" s="22" t="s">
        <v>392</v>
      </c>
      <c r="C11" s="22" t="s">
        <v>390</v>
      </c>
      <c r="D11" s="137" t="s">
        <v>320</v>
      </c>
      <c r="E11" s="124" t="s">
        <v>391</v>
      </c>
      <c r="F11" s="32" t="s">
        <v>296</v>
      </c>
      <c r="G11" s="23" t="s">
        <v>168</v>
      </c>
      <c r="H11" s="151">
        <f>I11+J11</f>
        <v>201800</v>
      </c>
      <c r="I11" s="151">
        <f>121300+28000+32500+20000</f>
        <v>201800</v>
      </c>
      <c r="J11" s="151"/>
      <c r="K11" s="151"/>
    </row>
    <row r="12" spans="1:11" s="8" customFormat="1" ht="78" customHeight="1" x14ac:dyDescent="0.2">
      <c r="A12" s="7"/>
      <c r="B12" s="22" t="s">
        <v>44</v>
      </c>
      <c r="C12" s="22" t="s">
        <v>45</v>
      </c>
      <c r="D12" s="22" t="s">
        <v>46</v>
      </c>
      <c r="E12" s="27" t="s">
        <v>47</v>
      </c>
      <c r="F12" s="28" t="s">
        <v>206</v>
      </c>
      <c r="G12" s="23" t="s">
        <v>258</v>
      </c>
      <c r="H12" s="151">
        <f t="shared" ref="H12:H17" si="0">I12+J12</f>
        <v>8000</v>
      </c>
      <c r="I12" s="151">
        <f>10000-2000</f>
        <v>8000</v>
      </c>
      <c r="J12" s="151">
        <f>J13</f>
        <v>0</v>
      </c>
      <c r="K12" s="151">
        <f>K13</f>
        <v>0</v>
      </c>
    </row>
    <row r="13" spans="1:11" ht="6.75" hidden="1" customHeight="1" x14ac:dyDescent="0.2">
      <c r="B13" s="22"/>
      <c r="C13" s="22"/>
      <c r="D13" s="22"/>
      <c r="E13" s="27"/>
      <c r="F13" s="26"/>
      <c r="G13" s="23"/>
      <c r="H13" s="151">
        <f t="shared" si="0"/>
        <v>0</v>
      </c>
      <c r="I13" s="140"/>
      <c r="J13" s="140"/>
      <c r="K13" s="140"/>
    </row>
    <row r="14" spans="1:11" s="8" customFormat="1" ht="76.5" customHeight="1" x14ac:dyDescent="0.2">
      <c r="A14" s="7"/>
      <c r="B14" s="22"/>
      <c r="C14" s="31"/>
      <c r="D14" s="31"/>
      <c r="E14" s="31"/>
      <c r="F14" s="28" t="s">
        <v>276</v>
      </c>
      <c r="G14" s="23" t="s">
        <v>275</v>
      </c>
      <c r="H14" s="151">
        <f t="shared" si="0"/>
        <v>87350</v>
      </c>
      <c r="I14" s="151">
        <f>I15+I16+I17</f>
        <v>87350</v>
      </c>
      <c r="J14" s="151">
        <f>J15+J16+J17</f>
        <v>0</v>
      </c>
      <c r="K14" s="151">
        <f>K15+K16+K17</f>
        <v>0</v>
      </c>
    </row>
    <row r="15" spans="1:11" ht="39.75" customHeight="1" x14ac:dyDescent="0.2">
      <c r="B15" s="22" t="s">
        <v>44</v>
      </c>
      <c r="C15" s="22" t="s">
        <v>45</v>
      </c>
      <c r="D15" s="22" t="s">
        <v>46</v>
      </c>
      <c r="E15" s="27" t="s">
        <v>47</v>
      </c>
      <c r="F15" s="26"/>
      <c r="G15" s="23"/>
      <c r="H15" s="151">
        <f t="shared" si="0"/>
        <v>57450</v>
      </c>
      <c r="I15" s="140">
        <f>235800-67800-110550</f>
        <v>57450</v>
      </c>
      <c r="J15" s="140"/>
      <c r="K15" s="140"/>
    </row>
    <row r="16" spans="1:11" ht="41.25" hidden="1" customHeight="1" x14ac:dyDescent="0.2">
      <c r="B16" s="22"/>
      <c r="C16" s="22"/>
      <c r="D16" s="22"/>
      <c r="E16" s="22"/>
      <c r="F16" s="26"/>
      <c r="G16" s="23"/>
      <c r="H16" s="151">
        <f t="shared" si="0"/>
        <v>0</v>
      </c>
      <c r="I16" s="140"/>
      <c r="J16" s="140"/>
      <c r="K16" s="140"/>
    </row>
    <row r="17" spans="1:11" ht="38.25" customHeight="1" x14ac:dyDescent="0.2">
      <c r="B17" s="22" t="s">
        <v>49</v>
      </c>
      <c r="C17" s="22" t="s">
        <v>50</v>
      </c>
      <c r="D17" s="22" t="s">
        <v>9</v>
      </c>
      <c r="E17" s="27" t="s">
        <v>51</v>
      </c>
      <c r="F17" s="26"/>
      <c r="G17" s="23"/>
      <c r="H17" s="151">
        <f t="shared" si="0"/>
        <v>29900</v>
      </c>
      <c r="I17" s="140">
        <f>29800+100</f>
        <v>29900</v>
      </c>
      <c r="J17" s="140"/>
      <c r="K17" s="140"/>
    </row>
    <row r="18" spans="1:11" s="8" customFormat="1" ht="63.75" customHeight="1" x14ac:dyDescent="0.2">
      <c r="A18" s="7"/>
      <c r="B18" s="33" t="s">
        <v>53</v>
      </c>
      <c r="C18" s="43" t="s">
        <v>54</v>
      </c>
      <c r="D18" s="43" t="s">
        <v>55</v>
      </c>
      <c r="E18" s="91" t="s">
        <v>56</v>
      </c>
      <c r="F18" s="28" t="s">
        <v>52</v>
      </c>
      <c r="G18" s="23" t="s">
        <v>158</v>
      </c>
      <c r="H18" s="151">
        <f t="shared" ref="H18:H23" si="1">I18+J18</f>
        <v>12143.899999999994</v>
      </c>
      <c r="I18" s="151">
        <f>85600-73456.1</f>
        <v>12143.899999999994</v>
      </c>
      <c r="J18" s="151">
        <f>J19+J20</f>
        <v>0</v>
      </c>
      <c r="K18" s="151">
        <f>K19+K20</f>
        <v>0</v>
      </c>
    </row>
    <row r="19" spans="1:11" ht="57.75" hidden="1" customHeight="1" x14ac:dyDescent="0.25">
      <c r="B19" s="33" t="s">
        <v>53</v>
      </c>
      <c r="C19" s="43" t="s">
        <v>54</v>
      </c>
      <c r="D19" s="43" t="s">
        <v>55</v>
      </c>
      <c r="E19" s="91" t="s">
        <v>56</v>
      </c>
      <c r="F19" s="92"/>
      <c r="G19" s="23"/>
      <c r="H19" s="140">
        <f t="shared" si="1"/>
        <v>0</v>
      </c>
      <c r="I19" s="151"/>
      <c r="J19" s="151"/>
      <c r="K19" s="151"/>
    </row>
    <row r="20" spans="1:11" ht="70.150000000000006" customHeight="1" x14ac:dyDescent="0.2">
      <c r="B20" s="33" t="s">
        <v>53</v>
      </c>
      <c r="C20" s="43" t="s">
        <v>54</v>
      </c>
      <c r="D20" s="43" t="s">
        <v>55</v>
      </c>
      <c r="E20" s="91" t="s">
        <v>56</v>
      </c>
      <c r="F20" s="32" t="s">
        <v>127</v>
      </c>
      <c r="G20" s="23" t="s">
        <v>164</v>
      </c>
      <c r="H20" s="151">
        <f t="shared" si="1"/>
        <v>15930</v>
      </c>
      <c r="I20" s="151">
        <f>30100-14170</f>
        <v>15930</v>
      </c>
      <c r="J20" s="151"/>
      <c r="K20" s="151"/>
    </row>
    <row r="21" spans="1:11" ht="78.75" customHeight="1" x14ac:dyDescent="0.2">
      <c r="B21" s="33" t="s">
        <v>49</v>
      </c>
      <c r="C21" s="33" t="s">
        <v>50</v>
      </c>
      <c r="D21" s="34" t="s">
        <v>9</v>
      </c>
      <c r="E21" s="38" t="s">
        <v>51</v>
      </c>
      <c r="F21" s="51" t="s">
        <v>248</v>
      </c>
      <c r="G21" s="23" t="s">
        <v>272</v>
      </c>
      <c r="H21" s="151">
        <f t="shared" si="1"/>
        <v>250000</v>
      </c>
      <c r="I21" s="151">
        <f>200000+50000</f>
        <v>250000</v>
      </c>
      <c r="J21" s="151">
        <v>0</v>
      </c>
      <c r="K21" s="151">
        <f>J21</f>
        <v>0</v>
      </c>
    </row>
    <row r="22" spans="1:11" ht="96" customHeight="1" x14ac:dyDescent="0.25">
      <c r="B22" s="33" t="s">
        <v>249</v>
      </c>
      <c r="C22" s="33" t="s">
        <v>250</v>
      </c>
      <c r="D22" s="33" t="s">
        <v>251</v>
      </c>
      <c r="E22" s="25" t="s">
        <v>252</v>
      </c>
      <c r="F22" s="93" t="s">
        <v>253</v>
      </c>
      <c r="G22" s="23" t="s">
        <v>261</v>
      </c>
      <c r="H22" s="151">
        <f t="shared" si="1"/>
        <v>11000</v>
      </c>
      <c r="I22" s="140">
        <v>11000</v>
      </c>
      <c r="J22" s="140"/>
      <c r="K22" s="140"/>
    </row>
    <row r="23" spans="1:11" s="99" customFormat="1" ht="28.9" customHeight="1" x14ac:dyDescent="0.3">
      <c r="A23" s="94"/>
      <c r="B23" s="95"/>
      <c r="C23" s="96"/>
      <c r="D23" s="96"/>
      <c r="E23" s="96" t="s">
        <v>11</v>
      </c>
      <c r="F23" s="97"/>
      <c r="G23" s="98"/>
      <c r="H23" s="148">
        <f t="shared" si="1"/>
        <v>586223.9</v>
      </c>
      <c r="I23" s="148">
        <f>I12+I14+I18+I21+I20+I22+I11</f>
        <v>586223.9</v>
      </c>
      <c r="J23" s="148">
        <f>J12+J14+J18+J21+J20+J22+J11</f>
        <v>0</v>
      </c>
      <c r="K23" s="148">
        <f>K12+K14+K18+K21+K20+K22+K11</f>
        <v>0</v>
      </c>
    </row>
    <row r="24" spans="1:11" ht="48" customHeight="1" x14ac:dyDescent="0.2">
      <c r="B24" s="33" t="s">
        <v>57</v>
      </c>
      <c r="C24" s="100"/>
      <c r="D24" s="100"/>
      <c r="E24" s="101" t="s">
        <v>259</v>
      </c>
      <c r="F24" s="26"/>
      <c r="G24" s="23"/>
      <c r="H24" s="30"/>
      <c r="I24" s="30"/>
      <c r="J24" s="30"/>
      <c r="K24" s="30"/>
    </row>
    <row r="25" spans="1:11" ht="48.75" customHeight="1" x14ac:dyDescent="0.25">
      <c r="B25" s="33" t="s">
        <v>58</v>
      </c>
      <c r="C25" s="100"/>
      <c r="D25" s="100"/>
      <c r="E25" s="80" t="s">
        <v>259</v>
      </c>
      <c r="F25" s="26"/>
      <c r="G25" s="23"/>
      <c r="H25" s="30"/>
      <c r="I25" s="30"/>
      <c r="J25" s="30"/>
      <c r="K25" s="30"/>
    </row>
    <row r="26" spans="1:11" s="8" customFormat="1" ht="71.45" customHeight="1" x14ac:dyDescent="0.2">
      <c r="A26" s="7"/>
      <c r="B26" s="33" t="s">
        <v>239</v>
      </c>
      <c r="C26" s="22" t="s">
        <v>240</v>
      </c>
      <c r="D26" s="22" t="s">
        <v>241</v>
      </c>
      <c r="E26" s="27" t="s">
        <v>242</v>
      </c>
      <c r="F26" s="28" t="s">
        <v>59</v>
      </c>
      <c r="G26" s="23" t="s">
        <v>159</v>
      </c>
      <c r="H26" s="151">
        <f>I26+J26</f>
        <v>232090</v>
      </c>
      <c r="I26" s="151">
        <f>233900-1810</f>
        <v>232090</v>
      </c>
      <c r="J26" s="151">
        <f>J30</f>
        <v>0</v>
      </c>
      <c r="K26" s="151">
        <f>K30</f>
        <v>0</v>
      </c>
    </row>
    <row r="27" spans="1:11" s="8" customFormat="1" ht="69.599999999999994" customHeight="1" x14ac:dyDescent="0.2">
      <c r="A27" s="7"/>
      <c r="B27" s="22"/>
      <c r="C27" s="31"/>
      <c r="D27" s="31"/>
      <c r="E27" s="31"/>
      <c r="F27" s="28" t="s">
        <v>287</v>
      </c>
      <c r="G27" s="23" t="s">
        <v>194</v>
      </c>
      <c r="H27" s="151">
        <f>I27+J27</f>
        <v>396516</v>
      </c>
      <c r="I27" s="151">
        <f>I28+I29</f>
        <v>235111</v>
      </c>
      <c r="J27" s="151">
        <f>J28+J29</f>
        <v>161405</v>
      </c>
      <c r="K27" s="151">
        <f>K28+K29</f>
        <v>161405</v>
      </c>
    </row>
    <row r="28" spans="1:11" s="8" customFormat="1" ht="42.6" customHeight="1" x14ac:dyDescent="0.25">
      <c r="A28" s="7"/>
      <c r="B28" s="126" t="s">
        <v>288</v>
      </c>
      <c r="C28" s="126" t="s">
        <v>121</v>
      </c>
      <c r="D28" s="126" t="s">
        <v>179</v>
      </c>
      <c r="E28" s="35" t="s">
        <v>289</v>
      </c>
      <c r="F28" s="26"/>
      <c r="G28" s="23"/>
      <c r="H28" s="140">
        <f>I28+J28</f>
        <v>111035</v>
      </c>
      <c r="I28" s="140">
        <f>29880+4500+15150+33000-4500+8500</f>
        <v>86530</v>
      </c>
      <c r="J28" s="140">
        <f>10005+4500+10000</f>
        <v>24505</v>
      </c>
      <c r="K28" s="140">
        <f>10005+4500+10000</f>
        <v>24505</v>
      </c>
    </row>
    <row r="29" spans="1:11" s="8" customFormat="1" ht="74.45" customHeight="1" x14ac:dyDescent="0.25">
      <c r="A29" s="7"/>
      <c r="B29" s="123" t="s">
        <v>290</v>
      </c>
      <c r="C29" s="123" t="s">
        <v>291</v>
      </c>
      <c r="D29" s="123" t="s">
        <v>180</v>
      </c>
      <c r="E29" s="125" t="s">
        <v>278</v>
      </c>
      <c r="F29" s="136"/>
      <c r="G29" s="66"/>
      <c r="H29" s="152">
        <f>I29+J29</f>
        <v>285481</v>
      </c>
      <c r="I29" s="152">
        <f>50000+5000+10000+6982+29999+42500+4100</f>
        <v>148581</v>
      </c>
      <c r="J29" s="152">
        <f>13000+128000-4100</f>
        <v>136900</v>
      </c>
      <c r="K29" s="152">
        <f>13000+128000-4100</f>
        <v>136900</v>
      </c>
    </row>
    <row r="30" spans="1:11" ht="37.5" hidden="1" customHeight="1" x14ac:dyDescent="0.2">
      <c r="B30" s="22"/>
      <c r="C30" s="22"/>
      <c r="D30" s="22"/>
      <c r="E30" s="22"/>
      <c r="F30" s="26"/>
      <c r="G30" s="23"/>
      <c r="H30" s="140"/>
      <c r="I30" s="140"/>
      <c r="J30" s="140"/>
      <c r="K30" s="140"/>
    </row>
    <row r="31" spans="1:11" ht="90" customHeight="1" x14ac:dyDescent="0.2">
      <c r="B31" s="22"/>
      <c r="C31" s="22"/>
      <c r="D31" s="22"/>
      <c r="E31" s="22"/>
      <c r="F31" s="28" t="s">
        <v>296</v>
      </c>
      <c r="G31" s="39" t="s">
        <v>168</v>
      </c>
      <c r="H31" s="151">
        <f>I31+J31</f>
        <v>1721500</v>
      </c>
      <c r="I31" s="151">
        <f>SUM(I32:I40)</f>
        <v>1721500</v>
      </c>
      <c r="J31" s="151">
        <f>SUM(J32:J40)</f>
        <v>0</v>
      </c>
      <c r="K31" s="151">
        <f>SUM(K32:K40)</f>
        <v>0</v>
      </c>
    </row>
    <row r="32" spans="1:11" ht="63.6" customHeight="1" x14ac:dyDescent="0.2">
      <c r="B32" s="22" t="s">
        <v>351</v>
      </c>
      <c r="C32" s="22" t="s">
        <v>319</v>
      </c>
      <c r="D32" s="22" t="s">
        <v>320</v>
      </c>
      <c r="E32" s="27" t="s">
        <v>323</v>
      </c>
      <c r="F32" s="26"/>
      <c r="G32" s="23"/>
      <c r="H32" s="140">
        <f t="shared" ref="H32:H40" si="2">I32+J32</f>
        <v>4775</v>
      </c>
      <c r="I32" s="140">
        <v>4775</v>
      </c>
      <c r="J32" s="140"/>
      <c r="K32" s="140"/>
    </row>
    <row r="33" spans="1:11" ht="37.5" customHeight="1" x14ac:dyDescent="0.2">
      <c r="B33" s="22" t="s">
        <v>288</v>
      </c>
      <c r="C33" s="22" t="s">
        <v>121</v>
      </c>
      <c r="D33" s="22" t="s">
        <v>179</v>
      </c>
      <c r="E33" s="27" t="s">
        <v>289</v>
      </c>
      <c r="F33" s="26"/>
      <c r="G33" s="23"/>
      <c r="H33" s="140">
        <f t="shared" si="2"/>
        <v>509000</v>
      </c>
      <c r="I33" s="140">
        <f>159000+350000</f>
        <v>509000</v>
      </c>
      <c r="J33" s="140"/>
      <c r="K33" s="140"/>
    </row>
    <row r="34" spans="1:11" ht="86.45" customHeight="1" x14ac:dyDescent="0.2">
      <c r="B34" s="22" t="s">
        <v>290</v>
      </c>
      <c r="C34" s="22" t="s">
        <v>291</v>
      </c>
      <c r="D34" s="22" t="s">
        <v>180</v>
      </c>
      <c r="E34" s="27" t="s">
        <v>278</v>
      </c>
      <c r="F34" s="26"/>
      <c r="G34" s="23"/>
      <c r="H34" s="140">
        <f t="shared" si="2"/>
        <v>1110000</v>
      </c>
      <c r="I34" s="140">
        <f>146500+50400+913100</f>
        <v>1110000</v>
      </c>
      <c r="J34" s="140"/>
      <c r="K34" s="140"/>
    </row>
    <row r="35" spans="1:11" ht="68.45" customHeight="1" x14ac:dyDescent="0.2">
      <c r="B35" s="22" t="s">
        <v>361</v>
      </c>
      <c r="C35" s="22" t="s">
        <v>362</v>
      </c>
      <c r="D35" s="22" t="s">
        <v>241</v>
      </c>
      <c r="E35" s="27" t="s">
        <v>363</v>
      </c>
      <c r="F35" s="26"/>
      <c r="G35" s="23"/>
      <c r="H35" s="140">
        <f t="shared" si="2"/>
        <v>3310</v>
      </c>
      <c r="I35" s="140">
        <v>3310</v>
      </c>
      <c r="J35" s="140"/>
      <c r="K35" s="140"/>
    </row>
    <row r="36" spans="1:11" ht="50.45" customHeight="1" x14ac:dyDescent="0.25">
      <c r="B36" s="127" t="s">
        <v>352</v>
      </c>
      <c r="C36" s="127" t="s">
        <v>125</v>
      </c>
      <c r="D36" s="127" t="s">
        <v>331</v>
      </c>
      <c r="E36" s="40" t="s">
        <v>353</v>
      </c>
      <c r="F36" s="26"/>
      <c r="G36" s="23"/>
      <c r="H36" s="140">
        <f t="shared" si="2"/>
        <v>36000</v>
      </c>
      <c r="I36" s="140">
        <f>11000+25000</f>
        <v>36000</v>
      </c>
      <c r="J36" s="140"/>
      <c r="K36" s="140"/>
    </row>
    <row r="37" spans="1:11" ht="37.5" customHeight="1" x14ac:dyDescent="0.25">
      <c r="B37" s="126" t="s">
        <v>354</v>
      </c>
      <c r="C37" s="126" t="s">
        <v>355</v>
      </c>
      <c r="D37" s="126" t="s">
        <v>241</v>
      </c>
      <c r="E37" s="40" t="s">
        <v>356</v>
      </c>
      <c r="F37" s="26"/>
      <c r="G37" s="23"/>
      <c r="H37" s="140">
        <f t="shared" si="2"/>
        <v>48415</v>
      </c>
      <c r="I37" s="140">
        <f>16500+16915+15000</f>
        <v>48415</v>
      </c>
      <c r="J37" s="140"/>
      <c r="K37" s="140"/>
    </row>
    <row r="38" spans="1:11" ht="37.5" customHeight="1" x14ac:dyDescent="0.2">
      <c r="B38" s="63" t="s">
        <v>393</v>
      </c>
      <c r="C38" s="63" t="s">
        <v>394</v>
      </c>
      <c r="D38" s="63" t="s">
        <v>241</v>
      </c>
      <c r="E38" s="141" t="s">
        <v>395</v>
      </c>
      <c r="F38" s="26"/>
      <c r="G38" s="23"/>
      <c r="H38" s="140">
        <f t="shared" si="2"/>
        <v>10000</v>
      </c>
      <c r="I38" s="140">
        <v>10000</v>
      </c>
      <c r="J38" s="140"/>
      <c r="K38" s="140"/>
    </row>
    <row r="39" spans="1:11" ht="37.5" hidden="1" customHeight="1" x14ac:dyDescent="0.2">
      <c r="B39" s="22"/>
      <c r="C39" s="22"/>
      <c r="D39" s="22"/>
      <c r="E39" s="27"/>
      <c r="F39" s="26"/>
      <c r="G39" s="23"/>
      <c r="H39" s="140">
        <f t="shared" si="2"/>
        <v>0</v>
      </c>
      <c r="I39" s="140"/>
      <c r="J39" s="140"/>
      <c r="K39" s="140"/>
    </row>
    <row r="40" spans="1:11" ht="31.15" hidden="1" customHeight="1" x14ac:dyDescent="0.2">
      <c r="B40" s="22"/>
      <c r="C40" s="22"/>
      <c r="D40" s="22"/>
      <c r="E40" s="27"/>
      <c r="F40" s="26"/>
      <c r="G40" s="23"/>
      <c r="H40" s="140">
        <f t="shared" si="2"/>
        <v>0</v>
      </c>
      <c r="I40" s="140"/>
      <c r="J40" s="140"/>
      <c r="K40" s="140"/>
    </row>
    <row r="41" spans="1:11" s="99" customFormat="1" ht="33" customHeight="1" x14ac:dyDescent="0.3">
      <c r="A41" s="94"/>
      <c r="B41" s="95"/>
      <c r="C41" s="96"/>
      <c r="D41" s="96"/>
      <c r="E41" s="96" t="s">
        <v>11</v>
      </c>
      <c r="F41" s="97"/>
      <c r="G41" s="98"/>
      <c r="H41" s="148">
        <f>I41+J41</f>
        <v>2350106</v>
      </c>
      <c r="I41" s="148">
        <f>I26+I27+I31</f>
        <v>2188701</v>
      </c>
      <c r="J41" s="148">
        <f>J26+J27+J31</f>
        <v>161405</v>
      </c>
      <c r="K41" s="148">
        <f>K26+K27+K31</f>
        <v>161405</v>
      </c>
    </row>
    <row r="42" spans="1:11" ht="59.25" customHeight="1" x14ac:dyDescent="0.2">
      <c r="B42" s="43" t="s">
        <v>60</v>
      </c>
      <c r="C42" s="73"/>
      <c r="D42" s="73"/>
      <c r="E42" s="101" t="s">
        <v>260</v>
      </c>
      <c r="F42" s="26"/>
      <c r="G42" s="23"/>
      <c r="H42" s="30"/>
      <c r="I42" s="30"/>
      <c r="J42" s="30"/>
      <c r="K42" s="30"/>
    </row>
    <row r="43" spans="1:11" ht="66" customHeight="1" x14ac:dyDescent="0.25">
      <c r="B43" s="43" t="s">
        <v>61</v>
      </c>
      <c r="C43" s="73"/>
      <c r="D43" s="73"/>
      <c r="E43" s="80" t="s">
        <v>260</v>
      </c>
      <c r="F43" s="26"/>
      <c r="G43" s="23"/>
      <c r="H43" s="30"/>
      <c r="I43" s="30"/>
      <c r="J43" s="30"/>
      <c r="K43" s="30"/>
    </row>
    <row r="44" spans="1:11" s="8" customFormat="1" ht="65.25" customHeight="1" x14ac:dyDescent="0.2">
      <c r="A44" s="7"/>
      <c r="B44" s="22"/>
      <c r="C44" s="31"/>
      <c r="D44" s="31"/>
      <c r="E44" s="31"/>
      <c r="F44" s="28" t="s">
        <v>62</v>
      </c>
      <c r="G44" s="23" t="s">
        <v>160</v>
      </c>
      <c r="H44" s="151">
        <f t="shared" ref="H44:H89" si="3">I44+J44</f>
        <v>22168769</v>
      </c>
      <c r="I44" s="151">
        <f>I45+I48+I49+I53+I55+I56+I54+I46</f>
        <v>20739254.399999999</v>
      </c>
      <c r="J44" s="151">
        <f>J45+J48+J49+J53+J55+J56+J54+J63</f>
        <v>1429514.6</v>
      </c>
      <c r="K44" s="151">
        <f>K45+K48+K49+K53+K55+K56+K54+K63</f>
        <v>1429514.6</v>
      </c>
    </row>
    <row r="45" spans="1:11" ht="70.150000000000006" customHeight="1" x14ac:dyDescent="0.25">
      <c r="B45" s="135" t="s">
        <v>293</v>
      </c>
      <c r="C45" s="135" t="s">
        <v>294</v>
      </c>
      <c r="D45" s="127" t="s">
        <v>181</v>
      </c>
      <c r="E45" s="128" t="s">
        <v>297</v>
      </c>
      <c r="F45" s="26" t="s">
        <v>305</v>
      </c>
      <c r="G45" s="23"/>
      <c r="H45" s="140">
        <f t="shared" si="3"/>
        <v>19335199</v>
      </c>
      <c r="I45" s="140">
        <f>12679900+262100+1000000+40600+29000+1800000+11000+275000+1830602+114745.4</f>
        <v>18042947.399999999</v>
      </c>
      <c r="J45" s="140">
        <f>553000+237900+26699+589398-114745.4</f>
        <v>1292251.6000000001</v>
      </c>
      <c r="K45" s="140">
        <f>553000+237900+26699+589398-114745.4</f>
        <v>1292251.6000000001</v>
      </c>
    </row>
    <row r="46" spans="1:11" ht="78" customHeight="1" x14ac:dyDescent="0.2">
      <c r="B46" s="22" t="s">
        <v>80</v>
      </c>
      <c r="C46" s="22" t="s">
        <v>81</v>
      </c>
      <c r="D46" s="142" t="s">
        <v>82</v>
      </c>
      <c r="E46" s="147" t="s">
        <v>298</v>
      </c>
      <c r="F46" s="26" t="s">
        <v>366</v>
      </c>
      <c r="G46" s="23"/>
      <c r="H46" s="140">
        <f t="shared" si="3"/>
        <v>571000</v>
      </c>
      <c r="I46" s="140">
        <f>200000+233000+16000+25000+97000</f>
        <v>571000</v>
      </c>
      <c r="J46" s="140"/>
      <c r="K46" s="140"/>
    </row>
    <row r="47" spans="1:11" ht="69.599999999999994" hidden="1" customHeight="1" x14ac:dyDescent="0.2">
      <c r="B47" s="22"/>
      <c r="C47" s="22"/>
      <c r="D47" s="22"/>
      <c r="E47" s="27"/>
      <c r="F47" s="26"/>
      <c r="G47" s="23"/>
      <c r="H47" s="140">
        <f t="shared" si="3"/>
        <v>0</v>
      </c>
      <c r="I47" s="140"/>
      <c r="J47" s="140"/>
      <c r="K47" s="140"/>
    </row>
    <row r="48" spans="1:11" ht="66" customHeight="1" x14ac:dyDescent="0.2">
      <c r="B48" s="33" t="s">
        <v>63</v>
      </c>
      <c r="C48" s="33" t="s">
        <v>64</v>
      </c>
      <c r="D48" s="33" t="s">
        <v>65</v>
      </c>
      <c r="E48" s="36" t="s">
        <v>66</v>
      </c>
      <c r="F48" s="26" t="s">
        <v>281</v>
      </c>
      <c r="G48" s="23"/>
      <c r="H48" s="140">
        <f t="shared" si="3"/>
        <v>11520</v>
      </c>
      <c r="I48" s="140">
        <f>20500-8980</f>
        <v>11520</v>
      </c>
      <c r="J48" s="140"/>
      <c r="K48" s="140"/>
    </row>
    <row r="49" spans="1:11" ht="39" customHeight="1" x14ac:dyDescent="0.2">
      <c r="B49" s="33" t="s">
        <v>67</v>
      </c>
      <c r="C49" s="33" t="s">
        <v>68</v>
      </c>
      <c r="D49" s="33" t="s">
        <v>65</v>
      </c>
      <c r="E49" s="25" t="s">
        <v>69</v>
      </c>
      <c r="F49" s="26"/>
      <c r="G49" s="23"/>
      <c r="H49" s="140">
        <f t="shared" si="3"/>
        <v>44946</v>
      </c>
      <c r="I49" s="140">
        <f>62400-8600-8854</f>
        <v>44946</v>
      </c>
      <c r="J49" s="140">
        <f>J50+J51+J52</f>
        <v>0</v>
      </c>
      <c r="K49" s="140">
        <f>K50+K51+K52</f>
        <v>0</v>
      </c>
    </row>
    <row r="50" spans="1:11" ht="24" hidden="1" customHeight="1" x14ac:dyDescent="0.2">
      <c r="B50" s="62"/>
      <c r="C50" s="62"/>
      <c r="D50" s="62"/>
      <c r="E50" s="62"/>
      <c r="F50" s="26" t="s">
        <v>247</v>
      </c>
      <c r="G50" s="23"/>
      <c r="H50" s="140">
        <f t="shared" si="3"/>
        <v>29400</v>
      </c>
      <c r="I50" s="140">
        <v>29400</v>
      </c>
      <c r="J50" s="140"/>
      <c r="K50" s="140"/>
    </row>
    <row r="51" spans="1:11" ht="71.45" customHeight="1" x14ac:dyDescent="0.2">
      <c r="B51" s="63"/>
      <c r="C51" s="63"/>
      <c r="D51" s="63"/>
      <c r="E51" s="63"/>
      <c r="F51" s="26" t="s">
        <v>282</v>
      </c>
      <c r="G51" s="23"/>
      <c r="H51" s="140">
        <f t="shared" si="3"/>
        <v>38946</v>
      </c>
      <c r="I51" s="140">
        <f>56400-8600-8854</f>
        <v>38946</v>
      </c>
      <c r="J51" s="140"/>
      <c r="K51" s="140"/>
    </row>
    <row r="52" spans="1:11" ht="1.9" hidden="1" customHeight="1" x14ac:dyDescent="0.2">
      <c r="B52" s="23"/>
      <c r="C52" s="23"/>
      <c r="D52" s="23"/>
      <c r="E52" s="23"/>
      <c r="F52" s="24"/>
      <c r="G52" s="23"/>
      <c r="H52" s="140">
        <f t="shared" si="3"/>
        <v>0</v>
      </c>
      <c r="I52" s="140"/>
      <c r="J52" s="140"/>
      <c r="K52" s="140"/>
    </row>
    <row r="53" spans="1:11" ht="80.25" customHeight="1" x14ac:dyDescent="0.2">
      <c r="B53" s="33" t="s">
        <v>70</v>
      </c>
      <c r="C53" s="33" t="s">
        <v>71</v>
      </c>
      <c r="D53" s="33" t="s">
        <v>65</v>
      </c>
      <c r="E53" s="25" t="s">
        <v>72</v>
      </c>
      <c r="F53" s="24" t="s">
        <v>281</v>
      </c>
      <c r="G53" s="23"/>
      <c r="H53" s="140">
        <f t="shared" si="3"/>
        <v>11875</v>
      </c>
      <c r="I53" s="140">
        <f>39000-27125</f>
        <v>11875</v>
      </c>
      <c r="J53" s="140"/>
      <c r="K53" s="140"/>
    </row>
    <row r="54" spans="1:11" ht="44.45" customHeight="1" x14ac:dyDescent="0.2">
      <c r="B54" s="33" t="s">
        <v>184</v>
      </c>
      <c r="C54" s="33" t="s">
        <v>185</v>
      </c>
      <c r="D54" s="33" t="s">
        <v>65</v>
      </c>
      <c r="E54" s="25" t="s">
        <v>186</v>
      </c>
      <c r="F54" s="24"/>
      <c r="G54" s="23"/>
      <c r="H54" s="140">
        <f t="shared" si="3"/>
        <v>647000</v>
      </c>
      <c r="I54" s="140">
        <f>150000+111000+386000</f>
        <v>647000</v>
      </c>
      <c r="J54" s="140"/>
      <c r="K54" s="140"/>
    </row>
    <row r="55" spans="1:11" ht="33.75" customHeight="1" x14ac:dyDescent="0.25">
      <c r="B55" s="33" t="s">
        <v>73</v>
      </c>
      <c r="C55" s="33" t="s">
        <v>74</v>
      </c>
      <c r="D55" s="33" t="s">
        <v>65</v>
      </c>
      <c r="E55" s="25" t="s">
        <v>75</v>
      </c>
      <c r="F55" s="37"/>
      <c r="G55" s="23"/>
      <c r="H55" s="140">
        <f t="shared" si="3"/>
        <v>355000</v>
      </c>
      <c r="I55" s="140">
        <f>414000+30000-89000</f>
        <v>355000</v>
      </c>
      <c r="J55" s="140"/>
      <c r="K55" s="140"/>
    </row>
    <row r="56" spans="1:11" ht="58.9" customHeight="1" x14ac:dyDescent="0.2">
      <c r="B56" s="33" t="s">
        <v>76</v>
      </c>
      <c r="C56" s="33" t="s">
        <v>77</v>
      </c>
      <c r="D56" s="33" t="s">
        <v>65</v>
      </c>
      <c r="E56" s="25" t="s">
        <v>78</v>
      </c>
      <c r="F56" s="42" t="s">
        <v>365</v>
      </c>
      <c r="G56" s="23"/>
      <c r="H56" s="140">
        <f t="shared" si="3"/>
        <v>1054966</v>
      </c>
      <c r="I56" s="140">
        <f>I57+I58+I60+I61+I62+I59</f>
        <v>1054966</v>
      </c>
      <c r="J56" s="140">
        <f>J57+J58+J60+J61+J62</f>
        <v>0</v>
      </c>
      <c r="K56" s="140">
        <f>K57+K58+K60+K61+K62</f>
        <v>0</v>
      </c>
    </row>
    <row r="57" spans="1:11" ht="36" hidden="1" customHeight="1" x14ac:dyDescent="0.2">
      <c r="B57" s="64"/>
      <c r="C57" s="64"/>
      <c r="D57" s="64"/>
      <c r="E57" s="64"/>
      <c r="F57" s="42" t="s">
        <v>365</v>
      </c>
      <c r="G57" s="23"/>
      <c r="H57" s="140">
        <f t="shared" si="3"/>
        <v>229686</v>
      </c>
      <c r="I57" s="140">
        <f>152000+58285+53700-34299</f>
        <v>229686</v>
      </c>
      <c r="J57" s="140"/>
      <c r="K57" s="140"/>
    </row>
    <row r="58" spans="1:11" ht="63" hidden="1" customHeight="1" x14ac:dyDescent="0.2">
      <c r="B58" s="65"/>
      <c r="C58" s="65"/>
      <c r="D58" s="65"/>
      <c r="E58" s="65"/>
      <c r="F58" s="42" t="s">
        <v>365</v>
      </c>
      <c r="G58" s="23"/>
      <c r="H58" s="140">
        <f t="shared" si="3"/>
        <v>37100</v>
      </c>
      <c r="I58" s="140">
        <f>72000-34900</f>
        <v>37100</v>
      </c>
      <c r="J58" s="140"/>
      <c r="K58" s="140"/>
    </row>
    <row r="59" spans="1:11" ht="34.5" hidden="1" customHeight="1" x14ac:dyDescent="0.2">
      <c r="B59" s="65"/>
      <c r="C59" s="65"/>
      <c r="D59" s="65"/>
      <c r="E59" s="65"/>
      <c r="F59" s="42" t="s">
        <v>365</v>
      </c>
      <c r="G59" s="23"/>
      <c r="H59" s="140">
        <f t="shared" si="3"/>
        <v>214000</v>
      </c>
      <c r="I59" s="30">
        <f>264000-21000-29000</f>
        <v>214000</v>
      </c>
      <c r="J59" s="140"/>
      <c r="K59" s="140"/>
    </row>
    <row r="60" spans="1:11" ht="48" hidden="1" customHeight="1" x14ac:dyDescent="0.2">
      <c r="B60" s="65"/>
      <c r="C60" s="65"/>
      <c r="D60" s="65"/>
      <c r="E60" s="65"/>
      <c r="F60" s="42" t="s">
        <v>365</v>
      </c>
      <c r="G60" s="23"/>
      <c r="H60" s="140">
        <f t="shared" si="3"/>
        <v>61913</v>
      </c>
      <c r="I60" s="30">
        <f>138600-76687</f>
        <v>61913</v>
      </c>
      <c r="J60" s="140"/>
      <c r="K60" s="140"/>
    </row>
    <row r="61" spans="1:11" ht="73.150000000000006" hidden="1" customHeight="1" x14ac:dyDescent="0.2">
      <c r="B61" s="65"/>
      <c r="C61" s="65"/>
      <c r="D61" s="65"/>
      <c r="E61" s="65"/>
      <c r="F61" s="42" t="s">
        <v>365</v>
      </c>
      <c r="G61" s="23"/>
      <c r="H61" s="140">
        <f t="shared" si="3"/>
        <v>253826</v>
      </c>
      <c r="I61" s="30">
        <f>668000-150000+10500-274674</f>
        <v>253826</v>
      </c>
      <c r="J61" s="140"/>
      <c r="K61" s="140"/>
    </row>
    <row r="62" spans="1:11" ht="69.599999999999994" hidden="1" customHeight="1" x14ac:dyDescent="0.2">
      <c r="B62" s="66"/>
      <c r="C62" s="66"/>
      <c r="D62" s="66"/>
      <c r="E62" s="66"/>
      <c r="F62" s="24" t="s">
        <v>79</v>
      </c>
      <c r="G62" s="23"/>
      <c r="H62" s="140">
        <f t="shared" si="3"/>
        <v>258441</v>
      </c>
      <c r="I62" s="30">
        <f>95000+158400+55200+85800-135959</f>
        <v>258441</v>
      </c>
      <c r="J62" s="140"/>
      <c r="K62" s="140"/>
    </row>
    <row r="63" spans="1:11" ht="76.150000000000006" customHeight="1" x14ac:dyDescent="0.2">
      <c r="B63" s="33" t="s">
        <v>381</v>
      </c>
      <c r="C63" s="49">
        <v>7322</v>
      </c>
      <c r="D63" s="43" t="s">
        <v>23</v>
      </c>
      <c r="E63" s="25" t="s">
        <v>307</v>
      </c>
      <c r="F63" s="24" t="s">
        <v>380</v>
      </c>
      <c r="G63" s="23"/>
      <c r="H63" s="140">
        <f t="shared" si="3"/>
        <v>137263</v>
      </c>
      <c r="I63" s="140"/>
      <c r="J63" s="140">
        <v>137263</v>
      </c>
      <c r="K63" s="140">
        <v>137263</v>
      </c>
    </row>
    <row r="64" spans="1:11" s="8" customFormat="1" ht="69.75" customHeight="1" x14ac:dyDescent="0.2">
      <c r="A64" s="7"/>
      <c r="B64" s="33" t="s">
        <v>83</v>
      </c>
      <c r="C64" s="33" t="s">
        <v>84</v>
      </c>
      <c r="D64" s="33" t="s">
        <v>85</v>
      </c>
      <c r="E64" s="38" t="s">
        <v>86</v>
      </c>
      <c r="F64" s="32" t="s">
        <v>209</v>
      </c>
      <c r="G64" s="23" t="s">
        <v>161</v>
      </c>
      <c r="H64" s="151">
        <f t="shared" si="3"/>
        <v>52259</v>
      </c>
      <c r="I64" s="151">
        <f>153000-100741</f>
        <v>52259</v>
      </c>
      <c r="J64" s="151">
        <f>J65</f>
        <v>0</v>
      </c>
      <c r="K64" s="151">
        <f>K65</f>
        <v>0</v>
      </c>
    </row>
    <row r="65" spans="1:11" ht="57" hidden="1" customHeight="1" x14ac:dyDescent="0.2">
      <c r="B65" s="33"/>
      <c r="C65" s="33"/>
      <c r="D65" s="33"/>
      <c r="E65" s="38"/>
      <c r="F65" s="24"/>
      <c r="G65" s="23"/>
      <c r="H65" s="140">
        <f t="shared" si="3"/>
        <v>0</v>
      </c>
      <c r="I65" s="140"/>
      <c r="J65" s="140"/>
      <c r="K65" s="140"/>
    </row>
    <row r="66" spans="1:11" ht="65.25" customHeight="1" x14ac:dyDescent="0.2">
      <c r="B66" s="33" t="s">
        <v>200</v>
      </c>
      <c r="C66" s="33" t="s">
        <v>201</v>
      </c>
      <c r="D66" s="33" t="s">
        <v>134</v>
      </c>
      <c r="E66" s="25" t="s">
        <v>202</v>
      </c>
      <c r="F66" s="32" t="s">
        <v>127</v>
      </c>
      <c r="G66" s="23" t="s">
        <v>164</v>
      </c>
      <c r="H66" s="151">
        <f t="shared" si="3"/>
        <v>74400</v>
      </c>
      <c r="I66" s="151">
        <v>74400</v>
      </c>
      <c r="J66" s="151"/>
      <c r="K66" s="151"/>
    </row>
    <row r="67" spans="1:11" ht="64.5" customHeight="1" x14ac:dyDescent="0.2">
      <c r="B67" s="33"/>
      <c r="C67" s="33"/>
      <c r="D67" s="33"/>
      <c r="E67" s="25"/>
      <c r="F67" s="32" t="s">
        <v>292</v>
      </c>
      <c r="G67" s="23" t="s">
        <v>194</v>
      </c>
      <c r="H67" s="151">
        <f t="shared" si="3"/>
        <v>1654454</v>
      </c>
      <c r="I67" s="151">
        <f>I68+I70+I69</f>
        <v>1551501</v>
      </c>
      <c r="J67" s="151">
        <f>J68+J70+J69</f>
        <v>102953</v>
      </c>
      <c r="K67" s="151">
        <f>K68+K70+K69</f>
        <v>102953</v>
      </c>
    </row>
    <row r="68" spans="1:11" ht="64.150000000000006" customHeight="1" x14ac:dyDescent="0.25">
      <c r="B68" s="126" t="s">
        <v>293</v>
      </c>
      <c r="C68" s="127" t="s">
        <v>294</v>
      </c>
      <c r="D68" s="127" t="s">
        <v>181</v>
      </c>
      <c r="E68" s="128" t="s">
        <v>295</v>
      </c>
      <c r="F68" s="24" t="s">
        <v>305</v>
      </c>
      <c r="G68" s="23"/>
      <c r="H68" s="140">
        <f t="shared" si="3"/>
        <v>105253</v>
      </c>
      <c r="I68" s="140">
        <f>10800+6500</f>
        <v>17300</v>
      </c>
      <c r="J68" s="140">
        <f>10200+77753</f>
        <v>87953</v>
      </c>
      <c r="K68" s="140">
        <f>10200+77753</f>
        <v>87953</v>
      </c>
    </row>
    <row r="69" spans="1:11" ht="63" customHeight="1" x14ac:dyDescent="0.2">
      <c r="B69" s="33" t="s">
        <v>383</v>
      </c>
      <c r="C69" s="33" t="s">
        <v>385</v>
      </c>
      <c r="D69" s="33" t="s">
        <v>65</v>
      </c>
      <c r="E69" s="25" t="s">
        <v>384</v>
      </c>
      <c r="F69" s="24" t="s">
        <v>367</v>
      </c>
      <c r="G69" s="23"/>
      <c r="H69" s="140">
        <f t="shared" si="3"/>
        <v>24546</v>
      </c>
      <c r="I69" s="140">
        <v>9546</v>
      </c>
      <c r="J69" s="140">
        <v>15000</v>
      </c>
      <c r="K69" s="140">
        <v>15000</v>
      </c>
    </row>
    <row r="70" spans="1:11" ht="41.25" customHeight="1" x14ac:dyDescent="0.25">
      <c r="B70" s="123" t="s">
        <v>123</v>
      </c>
      <c r="C70" s="123" t="s">
        <v>124</v>
      </c>
      <c r="D70" s="123" t="s">
        <v>125</v>
      </c>
      <c r="E70" s="125" t="s">
        <v>126</v>
      </c>
      <c r="F70" s="24"/>
      <c r="G70" s="23"/>
      <c r="H70" s="140">
        <f t="shared" si="3"/>
        <v>1524655</v>
      </c>
      <c r="I70" s="140">
        <f>533500+88000+224000+434900+244255</f>
        <v>1524655</v>
      </c>
      <c r="J70" s="140"/>
      <c r="K70" s="140"/>
    </row>
    <row r="71" spans="1:11" s="8" customFormat="1" ht="63" customHeight="1" x14ac:dyDescent="0.2">
      <c r="A71" s="7"/>
      <c r="B71" s="23"/>
      <c r="C71" s="39"/>
      <c r="D71" s="39"/>
      <c r="E71" s="39"/>
      <c r="F71" s="32" t="s">
        <v>87</v>
      </c>
      <c r="G71" s="23" t="s">
        <v>162</v>
      </c>
      <c r="H71" s="151">
        <f t="shared" si="3"/>
        <v>2225829</v>
      </c>
      <c r="I71" s="151">
        <f>I74+I76+I77+I79+I72+I78+I73</f>
        <v>2225829</v>
      </c>
      <c r="J71" s="151">
        <f>J74+J76+J77+J79+J72</f>
        <v>0</v>
      </c>
      <c r="K71" s="151">
        <f>K74+K76+K77+K79+K72</f>
        <v>0</v>
      </c>
    </row>
    <row r="72" spans="1:11" s="8" customFormat="1" ht="51.75" customHeight="1" x14ac:dyDescent="0.2">
      <c r="A72" s="7"/>
      <c r="B72" s="33" t="s">
        <v>106</v>
      </c>
      <c r="C72" s="33" t="s">
        <v>107</v>
      </c>
      <c r="D72" s="33" t="s">
        <v>97</v>
      </c>
      <c r="E72" s="25" t="s">
        <v>108</v>
      </c>
      <c r="F72" s="32"/>
      <c r="G72" s="23"/>
      <c r="H72" s="140">
        <f t="shared" si="3"/>
        <v>5000</v>
      </c>
      <c r="I72" s="140">
        <f>10000-5000</f>
        <v>5000</v>
      </c>
      <c r="J72" s="151"/>
      <c r="K72" s="151"/>
    </row>
    <row r="73" spans="1:11" s="8" customFormat="1" ht="51.75" customHeight="1" x14ac:dyDescent="0.25">
      <c r="A73" s="7"/>
      <c r="B73" s="123" t="s">
        <v>113</v>
      </c>
      <c r="C73" s="123" t="s">
        <v>114</v>
      </c>
      <c r="D73" s="123" t="s">
        <v>111</v>
      </c>
      <c r="E73" s="125" t="s">
        <v>115</v>
      </c>
      <c r="F73" s="32"/>
      <c r="G73" s="23"/>
      <c r="H73" s="140">
        <f t="shared" si="3"/>
        <v>18300</v>
      </c>
      <c r="I73" s="140">
        <f>3300+15000</f>
        <v>18300</v>
      </c>
      <c r="J73" s="151"/>
      <c r="K73" s="151"/>
    </row>
    <row r="74" spans="1:11" ht="111.75" customHeight="1" x14ac:dyDescent="0.25">
      <c r="B74" s="33" t="s">
        <v>88</v>
      </c>
      <c r="C74" s="33" t="s">
        <v>89</v>
      </c>
      <c r="D74" s="33" t="s">
        <v>90</v>
      </c>
      <c r="E74" s="38" t="s">
        <v>91</v>
      </c>
      <c r="F74" s="67"/>
      <c r="G74" s="23"/>
      <c r="H74" s="140">
        <f t="shared" si="3"/>
        <v>49700</v>
      </c>
      <c r="I74" s="140">
        <f>128800-83100+4000</f>
        <v>49700</v>
      </c>
      <c r="J74" s="140"/>
      <c r="K74" s="140"/>
    </row>
    <row r="75" spans="1:11" ht="31.5" hidden="1" x14ac:dyDescent="0.25">
      <c r="B75" s="33" t="s">
        <v>92</v>
      </c>
      <c r="C75" s="33" t="s">
        <v>93</v>
      </c>
      <c r="D75" s="33"/>
      <c r="E75" s="38" t="s">
        <v>94</v>
      </c>
      <c r="F75" s="67"/>
      <c r="G75" s="23"/>
      <c r="H75" s="140">
        <f t="shared" si="3"/>
        <v>0</v>
      </c>
      <c r="I75" s="140"/>
      <c r="J75" s="140"/>
      <c r="K75" s="140"/>
    </row>
    <row r="76" spans="1:11" ht="35.25" customHeight="1" x14ac:dyDescent="0.25">
      <c r="B76" s="33" t="s">
        <v>95</v>
      </c>
      <c r="C76" s="33" t="s">
        <v>96</v>
      </c>
      <c r="D76" s="33" t="s">
        <v>97</v>
      </c>
      <c r="E76" s="38" t="s">
        <v>98</v>
      </c>
      <c r="F76" s="67"/>
      <c r="G76" s="23"/>
      <c r="H76" s="140">
        <f t="shared" si="3"/>
        <v>509229</v>
      </c>
      <c r="I76" s="140">
        <f>477000+30000+80000-77771</f>
        <v>509229</v>
      </c>
      <c r="J76" s="140"/>
      <c r="K76" s="140"/>
    </row>
    <row r="77" spans="1:11" ht="80.25" customHeight="1" x14ac:dyDescent="0.25">
      <c r="B77" s="33" t="s">
        <v>99</v>
      </c>
      <c r="C77" s="33" t="s">
        <v>100</v>
      </c>
      <c r="D77" s="33" t="s">
        <v>97</v>
      </c>
      <c r="E77" s="38" t="s">
        <v>101</v>
      </c>
      <c r="F77" s="67" t="s">
        <v>283</v>
      </c>
      <c r="G77" s="23"/>
      <c r="H77" s="140">
        <f t="shared" si="3"/>
        <v>73000</v>
      </c>
      <c r="I77" s="140">
        <f>67900+5100</f>
        <v>73000</v>
      </c>
      <c r="J77" s="140"/>
      <c r="K77" s="140"/>
    </row>
    <row r="78" spans="1:11" ht="40.5" customHeight="1" x14ac:dyDescent="0.25">
      <c r="B78" s="33" t="s">
        <v>123</v>
      </c>
      <c r="C78" s="33" t="s">
        <v>124</v>
      </c>
      <c r="D78" s="33" t="s">
        <v>125</v>
      </c>
      <c r="E78" s="38" t="s">
        <v>126</v>
      </c>
      <c r="F78" s="67"/>
      <c r="G78" s="23"/>
      <c r="H78" s="140">
        <f t="shared" si="3"/>
        <v>70600</v>
      </c>
      <c r="I78" s="140">
        <f>55000+20000+20000-17000-7400</f>
        <v>70600</v>
      </c>
      <c r="J78" s="140"/>
      <c r="K78" s="140"/>
    </row>
    <row r="79" spans="1:11" ht="148.9" customHeight="1" x14ac:dyDescent="0.25">
      <c r="B79" s="33" t="s">
        <v>102</v>
      </c>
      <c r="C79" s="33" t="s">
        <v>103</v>
      </c>
      <c r="D79" s="33" t="s">
        <v>45</v>
      </c>
      <c r="E79" s="38" t="s">
        <v>104</v>
      </c>
      <c r="F79" s="67" t="s">
        <v>246</v>
      </c>
      <c r="G79" s="23"/>
      <c r="H79" s="140">
        <f t="shared" si="3"/>
        <v>1500000</v>
      </c>
      <c r="I79" s="140">
        <v>1500000</v>
      </c>
      <c r="J79" s="140"/>
      <c r="K79" s="140"/>
    </row>
    <row r="80" spans="1:11" s="8" customFormat="1" ht="66.599999999999994" customHeight="1" x14ac:dyDescent="0.2">
      <c r="A80" s="7"/>
      <c r="B80" s="23"/>
      <c r="C80" s="39"/>
      <c r="D80" s="39"/>
      <c r="E80" s="39"/>
      <c r="F80" s="32" t="s">
        <v>105</v>
      </c>
      <c r="G80" s="23" t="s">
        <v>163</v>
      </c>
      <c r="H80" s="151">
        <f t="shared" si="3"/>
        <v>4962447</v>
      </c>
      <c r="I80" s="151">
        <f>I81+I82+I83+I84+I85+I86+I87+I88+I89</f>
        <v>4962447</v>
      </c>
      <c r="J80" s="151">
        <f>J81+J82+J83+J84+J85+J86+J87+J88+J89</f>
        <v>0</v>
      </c>
      <c r="K80" s="151">
        <f>K81+K82+K83+K84+K85+K86+K87+K88+K89</f>
        <v>0</v>
      </c>
    </row>
    <row r="81" spans="2:11" ht="50.25" customHeight="1" x14ac:dyDescent="0.2">
      <c r="B81" s="33" t="s">
        <v>106</v>
      </c>
      <c r="C81" s="33" t="s">
        <v>107</v>
      </c>
      <c r="D81" s="33" t="s">
        <v>97</v>
      </c>
      <c r="E81" s="25" t="s">
        <v>108</v>
      </c>
      <c r="F81" s="24"/>
      <c r="G81" s="23"/>
      <c r="H81" s="140">
        <f t="shared" si="3"/>
        <v>20000</v>
      </c>
      <c r="I81" s="140">
        <v>20000</v>
      </c>
      <c r="J81" s="140"/>
      <c r="K81" s="140"/>
    </row>
    <row r="82" spans="2:11" ht="39.75" customHeight="1" x14ac:dyDescent="0.2">
      <c r="B82" s="33" t="s">
        <v>109</v>
      </c>
      <c r="C82" s="33" t="s">
        <v>110</v>
      </c>
      <c r="D82" s="33" t="s">
        <v>111</v>
      </c>
      <c r="E82" s="25" t="s">
        <v>112</v>
      </c>
      <c r="F82" s="24"/>
      <c r="G82" s="23"/>
      <c r="H82" s="140">
        <f t="shared" si="3"/>
        <v>117920</v>
      </c>
      <c r="I82" s="140">
        <f>200000-82080</f>
        <v>117920</v>
      </c>
      <c r="J82" s="140"/>
      <c r="K82" s="140"/>
    </row>
    <row r="83" spans="2:11" ht="65.25" customHeight="1" x14ac:dyDescent="0.2">
      <c r="B83" s="33" t="s">
        <v>113</v>
      </c>
      <c r="C83" s="33" t="s">
        <v>114</v>
      </c>
      <c r="D83" s="33" t="s">
        <v>111</v>
      </c>
      <c r="E83" s="38" t="s">
        <v>115</v>
      </c>
      <c r="F83" s="24"/>
      <c r="G83" s="23"/>
      <c r="H83" s="140">
        <f t="shared" si="3"/>
        <v>1908530</v>
      </c>
      <c r="I83" s="140">
        <f>3200000-3300-1288170</f>
        <v>1908530</v>
      </c>
      <c r="J83" s="140"/>
      <c r="K83" s="140"/>
    </row>
    <row r="84" spans="2:11" ht="61.5" customHeight="1" x14ac:dyDescent="0.2">
      <c r="B84" s="33" t="s">
        <v>116</v>
      </c>
      <c r="C84" s="33" t="s">
        <v>117</v>
      </c>
      <c r="D84" s="33" t="s">
        <v>111</v>
      </c>
      <c r="E84" s="38" t="s">
        <v>118</v>
      </c>
      <c r="F84" s="24"/>
      <c r="G84" s="23"/>
      <c r="H84" s="140">
        <f t="shared" si="3"/>
        <v>79700</v>
      </c>
      <c r="I84" s="140">
        <f>160000-80300</f>
        <v>79700</v>
      </c>
      <c r="J84" s="140"/>
      <c r="K84" s="140"/>
    </row>
    <row r="85" spans="2:11" ht="130.5" customHeight="1" x14ac:dyDescent="0.25">
      <c r="B85" s="33" t="s">
        <v>119</v>
      </c>
      <c r="C85" s="33" t="s">
        <v>120</v>
      </c>
      <c r="D85" s="33" t="s">
        <v>121</v>
      </c>
      <c r="E85" s="35" t="s">
        <v>122</v>
      </c>
      <c r="F85" s="24"/>
      <c r="G85" s="23"/>
      <c r="H85" s="140">
        <f t="shared" si="3"/>
        <v>185000</v>
      </c>
      <c r="I85" s="140">
        <f>200000-15000</f>
        <v>185000</v>
      </c>
      <c r="J85" s="140"/>
      <c r="K85" s="140"/>
    </row>
    <row r="86" spans="2:11" ht="111.75" customHeight="1" x14ac:dyDescent="0.25">
      <c r="B86" s="33" t="s">
        <v>88</v>
      </c>
      <c r="C86" s="33" t="s">
        <v>89</v>
      </c>
      <c r="D86" s="33" t="s">
        <v>90</v>
      </c>
      <c r="E86" s="40" t="s">
        <v>91</v>
      </c>
      <c r="F86" s="24"/>
      <c r="G86" s="23"/>
      <c r="H86" s="140">
        <f t="shared" si="3"/>
        <v>105000</v>
      </c>
      <c r="I86" s="140">
        <f>114000-9000</f>
        <v>105000</v>
      </c>
      <c r="J86" s="140"/>
      <c r="K86" s="140"/>
    </row>
    <row r="87" spans="2:11" ht="37.15" customHeight="1" x14ac:dyDescent="0.25">
      <c r="B87" s="33" t="s">
        <v>95</v>
      </c>
      <c r="C87" s="33" t="s">
        <v>96</v>
      </c>
      <c r="D87" s="33" t="s">
        <v>97</v>
      </c>
      <c r="E87" s="40" t="s">
        <v>98</v>
      </c>
      <c r="F87" s="24"/>
      <c r="G87" s="23"/>
      <c r="H87" s="140">
        <f t="shared" si="3"/>
        <v>516172</v>
      </c>
      <c r="I87" s="140">
        <f>728600-74500-137928</f>
        <v>516172</v>
      </c>
      <c r="J87" s="140"/>
      <c r="K87" s="140"/>
    </row>
    <row r="88" spans="2:11" ht="232.5" customHeight="1" x14ac:dyDescent="0.2">
      <c r="B88" s="33" t="s">
        <v>99</v>
      </c>
      <c r="C88" s="33" t="s">
        <v>100</v>
      </c>
      <c r="D88" s="33" t="s">
        <v>97</v>
      </c>
      <c r="E88" s="38" t="s">
        <v>101</v>
      </c>
      <c r="F88" s="24" t="s">
        <v>284</v>
      </c>
      <c r="G88" s="23"/>
      <c r="H88" s="140">
        <f t="shared" si="3"/>
        <v>254042</v>
      </c>
      <c r="I88" s="140">
        <f>274900-20858</f>
        <v>254042</v>
      </c>
      <c r="J88" s="140"/>
      <c r="K88" s="140"/>
    </row>
    <row r="89" spans="2:11" ht="54.75" customHeight="1" x14ac:dyDescent="0.2">
      <c r="B89" s="33" t="s">
        <v>123</v>
      </c>
      <c r="C89" s="33" t="s">
        <v>124</v>
      </c>
      <c r="D89" s="33" t="s">
        <v>125</v>
      </c>
      <c r="E89" s="38" t="s">
        <v>126</v>
      </c>
      <c r="F89" s="24"/>
      <c r="G89" s="23"/>
      <c r="H89" s="140">
        <f t="shared" si="3"/>
        <v>1776083</v>
      </c>
      <c r="I89" s="140">
        <f>1801600-20000+74500-80017</f>
        <v>1776083</v>
      </c>
      <c r="J89" s="140"/>
      <c r="K89" s="140"/>
    </row>
    <row r="90" spans="2:11" ht="89.45" customHeight="1" x14ac:dyDescent="0.2">
      <c r="B90" s="33"/>
      <c r="C90" s="33"/>
      <c r="D90" s="33"/>
      <c r="E90" s="38"/>
      <c r="F90" s="32" t="s">
        <v>296</v>
      </c>
      <c r="G90" s="23" t="s">
        <v>168</v>
      </c>
      <c r="H90" s="151">
        <f>H92+H93+H97+H98+H96+H95+H94+H91</f>
        <v>15736820</v>
      </c>
      <c r="I90" s="151">
        <f>I92+I93+I97+I98+I96+I95+I94+I91</f>
        <v>9099165</v>
      </c>
      <c r="J90" s="151">
        <f>J92+J93+J97+J98+J96+J95+J94+J91</f>
        <v>6637655</v>
      </c>
      <c r="K90" s="151">
        <f>K92+K93+K97+K98+K96+K95+K94+K91</f>
        <v>6637655</v>
      </c>
    </row>
    <row r="91" spans="2:11" ht="65.45" customHeight="1" x14ac:dyDescent="0.25">
      <c r="B91" s="126" t="s">
        <v>318</v>
      </c>
      <c r="C91" s="123" t="s">
        <v>319</v>
      </c>
      <c r="D91" s="123" t="s">
        <v>320</v>
      </c>
      <c r="E91" s="124" t="s">
        <v>321</v>
      </c>
      <c r="F91" s="32"/>
      <c r="G91" s="23"/>
      <c r="H91" s="140">
        <f t="shared" ref="H91:H98" si="4">I91+J91</f>
        <v>66700</v>
      </c>
      <c r="I91" s="140">
        <f>90150-23450</f>
        <v>66700</v>
      </c>
      <c r="J91" s="140"/>
      <c r="K91" s="140"/>
    </row>
    <row r="92" spans="2:11" ht="54.75" customHeight="1" x14ac:dyDescent="0.25">
      <c r="B92" s="127" t="s">
        <v>293</v>
      </c>
      <c r="C92" s="127" t="s">
        <v>294</v>
      </c>
      <c r="D92" s="127" t="s">
        <v>181</v>
      </c>
      <c r="E92" s="128" t="s">
        <v>297</v>
      </c>
      <c r="F92" s="24" t="s">
        <v>305</v>
      </c>
      <c r="G92" s="23"/>
      <c r="H92" s="140">
        <f t="shared" si="4"/>
        <v>11846547</v>
      </c>
      <c r="I92" s="140">
        <f>91799+602410+141230+345000+772976+3342477</f>
        <v>5295892</v>
      </c>
      <c r="J92" s="140">
        <f>6829760-335383+167454-111176</f>
        <v>6550655</v>
      </c>
      <c r="K92" s="140">
        <f>6829760-335383+167454-111176</f>
        <v>6550655</v>
      </c>
    </row>
    <row r="93" spans="2:11" ht="77.45" customHeight="1" x14ac:dyDescent="0.25">
      <c r="B93" s="127" t="s">
        <v>80</v>
      </c>
      <c r="C93" s="127" t="s">
        <v>81</v>
      </c>
      <c r="D93" s="127" t="s">
        <v>82</v>
      </c>
      <c r="E93" s="35" t="s">
        <v>298</v>
      </c>
      <c r="F93" s="24" t="s">
        <v>281</v>
      </c>
      <c r="G93" s="23"/>
      <c r="H93" s="140">
        <f t="shared" si="4"/>
        <v>3657449</v>
      </c>
      <c r="I93" s="140">
        <f>225389+1819760-44000+613800+955500</f>
        <v>3570449</v>
      </c>
      <c r="J93" s="140">
        <f>44000+43000</f>
        <v>87000</v>
      </c>
      <c r="K93" s="140">
        <f>44000+43000</f>
        <v>87000</v>
      </c>
    </row>
    <row r="94" spans="2:11" ht="77.45" customHeight="1" x14ac:dyDescent="0.25">
      <c r="B94" s="127" t="s">
        <v>317</v>
      </c>
      <c r="C94" s="126" t="s">
        <v>315</v>
      </c>
      <c r="D94" s="126" t="s">
        <v>291</v>
      </c>
      <c r="E94" s="35" t="s">
        <v>316</v>
      </c>
      <c r="F94" s="24"/>
      <c r="G94" s="23"/>
      <c r="H94" s="140">
        <f t="shared" si="4"/>
        <v>55640</v>
      </c>
      <c r="I94" s="140">
        <f>13190+7950+34500</f>
        <v>55640</v>
      </c>
      <c r="J94" s="140"/>
      <c r="K94" s="140"/>
    </row>
    <row r="95" spans="2:11" ht="66.599999999999994" customHeight="1" x14ac:dyDescent="0.25">
      <c r="B95" s="127" t="s">
        <v>200</v>
      </c>
      <c r="C95" s="127" t="s">
        <v>201</v>
      </c>
      <c r="D95" s="126" t="s">
        <v>134</v>
      </c>
      <c r="E95" s="35" t="s">
        <v>314</v>
      </c>
      <c r="F95" s="24"/>
      <c r="G95" s="23"/>
      <c r="H95" s="140">
        <f t="shared" si="4"/>
        <v>10000</v>
      </c>
      <c r="I95" s="140">
        <v>10000</v>
      </c>
      <c r="J95" s="140"/>
      <c r="K95" s="140"/>
    </row>
    <row r="96" spans="2:11" ht="61.9" customHeight="1" x14ac:dyDescent="0.25">
      <c r="B96" s="126" t="s">
        <v>308</v>
      </c>
      <c r="C96" s="126" t="s">
        <v>154</v>
      </c>
      <c r="D96" s="126" t="s">
        <v>155</v>
      </c>
      <c r="E96" s="35" t="s">
        <v>156</v>
      </c>
      <c r="F96" s="24"/>
      <c r="G96" s="23"/>
      <c r="H96" s="140">
        <f t="shared" si="4"/>
        <v>60000</v>
      </c>
      <c r="I96" s="140">
        <f>2060000-889819-433000-359396-157000-160785</f>
        <v>60000</v>
      </c>
      <c r="J96" s="140"/>
      <c r="K96" s="140"/>
    </row>
    <row r="97" spans="1:11" ht="123" customHeight="1" x14ac:dyDescent="0.25">
      <c r="B97" s="126" t="s">
        <v>102</v>
      </c>
      <c r="C97" s="126" t="s">
        <v>103</v>
      </c>
      <c r="D97" s="126" t="s">
        <v>45</v>
      </c>
      <c r="E97" s="40" t="s">
        <v>104</v>
      </c>
      <c r="F97" s="24" t="s">
        <v>302</v>
      </c>
      <c r="G97" s="23"/>
      <c r="H97" s="140">
        <f t="shared" si="4"/>
        <v>27079</v>
      </c>
      <c r="I97" s="140">
        <v>27079</v>
      </c>
      <c r="J97" s="140"/>
      <c r="K97" s="140"/>
    </row>
    <row r="98" spans="1:11" ht="159" customHeight="1" x14ac:dyDescent="0.25">
      <c r="B98" s="129" t="s">
        <v>299</v>
      </c>
      <c r="C98" s="129" t="s">
        <v>300</v>
      </c>
      <c r="D98" s="129" t="s">
        <v>45</v>
      </c>
      <c r="E98" s="130" t="s">
        <v>301</v>
      </c>
      <c r="F98" s="24" t="s">
        <v>303</v>
      </c>
      <c r="G98" s="23"/>
      <c r="H98" s="140">
        <f t="shared" si="4"/>
        <v>13405</v>
      </c>
      <c r="I98" s="140">
        <v>13405</v>
      </c>
      <c r="J98" s="140"/>
      <c r="K98" s="140"/>
    </row>
    <row r="99" spans="1:11" ht="54.75" customHeight="1" x14ac:dyDescent="0.2">
      <c r="B99" s="33"/>
      <c r="C99" s="33"/>
      <c r="D99" s="33"/>
      <c r="E99" s="38"/>
      <c r="F99" s="24"/>
      <c r="G99" s="23"/>
      <c r="H99" s="140"/>
      <c r="I99" s="140"/>
      <c r="J99" s="140"/>
      <c r="K99" s="140"/>
    </row>
    <row r="100" spans="1:11" s="99" customFormat="1" ht="40.15" customHeight="1" x14ac:dyDescent="0.3">
      <c r="A100" s="94"/>
      <c r="B100" s="102"/>
      <c r="C100" s="98"/>
      <c r="D100" s="98"/>
      <c r="E100" s="98" t="s">
        <v>11</v>
      </c>
      <c r="F100" s="103"/>
      <c r="G100" s="98"/>
      <c r="H100" s="148">
        <f>I100+J100</f>
        <v>46874978</v>
      </c>
      <c r="I100" s="148">
        <f>I80+I71+I64+I44+I66+I67+I90</f>
        <v>38704855.399999999</v>
      </c>
      <c r="J100" s="148">
        <f>J80+J71+J64+J44+J66+J67+J90</f>
        <v>8170122.5999999996</v>
      </c>
      <c r="K100" s="148">
        <f>K80+K71+K64+K44+K66+K67+K90</f>
        <v>8170122.5999999996</v>
      </c>
    </row>
    <row r="101" spans="1:11" s="8" customFormat="1" ht="47.25" customHeight="1" x14ac:dyDescent="0.2">
      <c r="A101" s="7"/>
      <c r="B101" s="22" t="s">
        <v>187</v>
      </c>
      <c r="C101" s="39"/>
      <c r="D101" s="39"/>
      <c r="E101" s="104" t="s">
        <v>262</v>
      </c>
      <c r="F101" s="32"/>
      <c r="G101" s="39"/>
      <c r="H101" s="29"/>
      <c r="I101" s="29"/>
      <c r="J101" s="29"/>
      <c r="K101" s="29"/>
    </row>
    <row r="102" spans="1:11" s="8" customFormat="1" ht="54.75" customHeight="1" x14ac:dyDescent="0.25">
      <c r="A102" s="7"/>
      <c r="B102" s="22" t="s">
        <v>188</v>
      </c>
      <c r="C102" s="39"/>
      <c r="D102" s="39"/>
      <c r="E102" s="78" t="s">
        <v>262</v>
      </c>
      <c r="F102" s="32"/>
      <c r="G102" s="39"/>
      <c r="H102" s="29"/>
      <c r="I102" s="29"/>
      <c r="J102" s="29"/>
      <c r="K102" s="29"/>
    </row>
    <row r="103" spans="1:11" s="8" customFormat="1" ht="63.75" customHeight="1" x14ac:dyDescent="0.2">
      <c r="A103" s="7"/>
      <c r="B103" s="41"/>
      <c r="C103" s="41"/>
      <c r="D103" s="41"/>
      <c r="E103" s="41"/>
      <c r="F103" s="32" t="s">
        <v>189</v>
      </c>
      <c r="G103" s="23" t="s">
        <v>190</v>
      </c>
      <c r="H103" s="29">
        <f t="shared" ref="H103:H111" si="5">I103+J103</f>
        <v>1072964</v>
      </c>
      <c r="I103" s="29">
        <f>I104+I105+I106</f>
        <v>978032</v>
      </c>
      <c r="J103" s="29">
        <f>J104+J105+J106</f>
        <v>94932</v>
      </c>
      <c r="K103" s="29">
        <f>K104+K105+K106</f>
        <v>17200</v>
      </c>
    </row>
    <row r="104" spans="1:11" s="8" customFormat="1" ht="111" customHeight="1" x14ac:dyDescent="0.2">
      <c r="A104" s="7"/>
      <c r="B104" s="33" t="s">
        <v>243</v>
      </c>
      <c r="C104" s="33" t="s">
        <v>244</v>
      </c>
      <c r="D104" s="33" t="s">
        <v>134</v>
      </c>
      <c r="E104" s="42" t="s">
        <v>245</v>
      </c>
      <c r="F104" s="24"/>
      <c r="G104" s="23"/>
      <c r="H104" s="29">
        <f t="shared" si="5"/>
        <v>948232</v>
      </c>
      <c r="I104" s="30">
        <f>500000+199964-64732+303000-7200</f>
        <v>931032</v>
      </c>
      <c r="J104" s="30">
        <f>10000+7200</f>
        <v>17200</v>
      </c>
      <c r="K104" s="30">
        <f>10000+7200</f>
        <v>17200</v>
      </c>
    </row>
    <row r="105" spans="1:11" s="8" customFormat="1" ht="48" customHeight="1" x14ac:dyDescent="0.2">
      <c r="A105" s="7"/>
      <c r="B105" s="33" t="s">
        <v>216</v>
      </c>
      <c r="C105" s="33" t="s">
        <v>217</v>
      </c>
      <c r="D105" s="33" t="s">
        <v>134</v>
      </c>
      <c r="E105" s="42" t="s">
        <v>218</v>
      </c>
      <c r="F105" s="24"/>
      <c r="G105" s="23"/>
      <c r="H105" s="29">
        <f t="shared" si="5"/>
        <v>47000</v>
      </c>
      <c r="I105" s="30">
        <v>47000</v>
      </c>
      <c r="J105" s="29"/>
      <c r="K105" s="29"/>
    </row>
    <row r="106" spans="1:11" s="8" customFormat="1" ht="197.45" customHeight="1" x14ac:dyDescent="0.2">
      <c r="A106" s="7"/>
      <c r="B106" s="33" t="s">
        <v>358</v>
      </c>
      <c r="C106" s="33" t="s">
        <v>359</v>
      </c>
      <c r="D106" s="33" t="s">
        <v>9</v>
      </c>
      <c r="E106" s="42" t="s">
        <v>360</v>
      </c>
      <c r="F106" s="24"/>
      <c r="G106" s="23"/>
      <c r="H106" s="29">
        <f t="shared" si="5"/>
        <v>77732</v>
      </c>
      <c r="I106" s="30"/>
      <c r="J106" s="29">
        <f>64732+13000</f>
        <v>77732</v>
      </c>
      <c r="K106" s="29"/>
    </row>
    <row r="107" spans="1:11" s="8" customFormat="1" ht="74.45" customHeight="1" x14ac:dyDescent="0.2">
      <c r="A107" s="7"/>
      <c r="B107" s="33"/>
      <c r="C107" s="33"/>
      <c r="D107" s="33"/>
      <c r="E107" s="42"/>
      <c r="F107" s="32" t="s">
        <v>292</v>
      </c>
      <c r="G107" s="23" t="s">
        <v>194</v>
      </c>
      <c r="H107" s="29">
        <f t="shared" si="5"/>
        <v>28163</v>
      </c>
      <c r="I107" s="29">
        <f>I108</f>
        <v>8500</v>
      </c>
      <c r="J107" s="29">
        <f>J108</f>
        <v>19663</v>
      </c>
      <c r="K107" s="29">
        <f>K108</f>
        <v>19663</v>
      </c>
    </row>
    <row r="108" spans="1:11" s="8" customFormat="1" ht="110.45" customHeight="1" x14ac:dyDescent="0.2">
      <c r="A108" s="7"/>
      <c r="B108" s="33" t="s">
        <v>243</v>
      </c>
      <c r="C108" s="33" t="s">
        <v>244</v>
      </c>
      <c r="D108" s="33" t="s">
        <v>134</v>
      </c>
      <c r="E108" s="42" t="s">
        <v>245</v>
      </c>
      <c r="F108" s="24"/>
      <c r="G108" s="23"/>
      <c r="H108" s="29">
        <f t="shared" si="5"/>
        <v>28163</v>
      </c>
      <c r="I108" s="30">
        <v>8500</v>
      </c>
      <c r="J108" s="140">
        <v>19663</v>
      </c>
      <c r="K108" s="140">
        <v>19663</v>
      </c>
    </row>
    <row r="109" spans="1:11" s="8" customFormat="1" ht="73.150000000000006" customHeight="1" x14ac:dyDescent="0.2">
      <c r="A109" s="7"/>
      <c r="B109" s="33"/>
      <c r="C109" s="33"/>
      <c r="D109" s="33"/>
      <c r="E109" s="42"/>
      <c r="F109" s="32" t="s">
        <v>296</v>
      </c>
      <c r="G109" s="23" t="s">
        <v>168</v>
      </c>
      <c r="H109" s="29">
        <f t="shared" si="5"/>
        <v>10000</v>
      </c>
      <c r="I109" s="30">
        <f>I110+I111</f>
        <v>10000</v>
      </c>
      <c r="J109" s="30">
        <f>J110+J111</f>
        <v>0</v>
      </c>
      <c r="K109" s="30">
        <f>K110+K111</f>
        <v>0</v>
      </c>
    </row>
    <row r="110" spans="1:11" s="8" customFormat="1" ht="61.15" customHeight="1" x14ac:dyDescent="0.25">
      <c r="A110" s="7"/>
      <c r="B110" s="33" t="s">
        <v>325</v>
      </c>
      <c r="C110" s="137" t="s">
        <v>319</v>
      </c>
      <c r="D110" s="137" t="s">
        <v>320</v>
      </c>
      <c r="E110" s="124" t="s">
        <v>323</v>
      </c>
      <c r="F110" s="24"/>
      <c r="G110" s="23"/>
      <c r="H110" s="29">
        <f t="shared" si="5"/>
        <v>5000</v>
      </c>
      <c r="I110" s="30">
        <v>5000</v>
      </c>
      <c r="J110" s="29"/>
      <c r="K110" s="29"/>
    </row>
    <row r="111" spans="1:11" s="8" customFormat="1" ht="110.45" customHeight="1" x14ac:dyDescent="0.2">
      <c r="A111" s="7"/>
      <c r="B111" s="23" t="s">
        <v>243</v>
      </c>
      <c r="C111" s="23" t="s">
        <v>244</v>
      </c>
      <c r="D111" s="23" t="s">
        <v>134</v>
      </c>
      <c r="E111" s="42" t="s">
        <v>357</v>
      </c>
      <c r="F111" s="24"/>
      <c r="G111" s="39"/>
      <c r="H111" s="29">
        <f t="shared" si="5"/>
        <v>5000</v>
      </c>
      <c r="I111" s="30">
        <f>5000</f>
        <v>5000</v>
      </c>
      <c r="J111" s="29"/>
      <c r="K111" s="29"/>
    </row>
    <row r="112" spans="1:11" s="8" customFormat="1" ht="30.75" customHeight="1" x14ac:dyDescent="0.2">
      <c r="A112" s="7"/>
      <c r="B112" s="23"/>
      <c r="C112" s="39"/>
      <c r="D112" s="39"/>
      <c r="E112" s="98" t="s">
        <v>11</v>
      </c>
      <c r="F112" s="103"/>
      <c r="G112" s="98"/>
      <c r="H112" s="61">
        <f>H103+H109+H107</f>
        <v>1111127</v>
      </c>
      <c r="I112" s="61">
        <f>I103+I109+I107</f>
        <v>996532</v>
      </c>
      <c r="J112" s="61">
        <f>J103+J109+J107</f>
        <v>114595</v>
      </c>
      <c r="K112" s="61">
        <f>K103+K109+K107</f>
        <v>36863</v>
      </c>
    </row>
    <row r="113" spans="1:11" ht="63" customHeight="1" x14ac:dyDescent="0.2">
      <c r="B113" s="49">
        <v>1000000</v>
      </c>
      <c r="C113" s="105"/>
      <c r="D113" s="105"/>
      <c r="E113" s="101" t="s">
        <v>263</v>
      </c>
      <c r="F113" s="24"/>
      <c r="G113" s="23"/>
      <c r="H113" s="30"/>
      <c r="I113" s="30"/>
      <c r="J113" s="30"/>
      <c r="K113" s="30"/>
    </row>
    <row r="114" spans="1:11" ht="62.25" customHeight="1" x14ac:dyDescent="0.25">
      <c r="B114" s="49">
        <v>1010000</v>
      </c>
      <c r="C114" s="105"/>
      <c r="D114" s="105"/>
      <c r="E114" s="80" t="s">
        <v>263</v>
      </c>
      <c r="F114" s="24"/>
      <c r="G114" s="23"/>
      <c r="H114" s="30"/>
      <c r="I114" s="30"/>
      <c r="J114" s="30"/>
      <c r="K114" s="30"/>
    </row>
    <row r="115" spans="1:11" ht="69" customHeight="1" x14ac:dyDescent="0.2">
      <c r="B115" s="33" t="s">
        <v>132</v>
      </c>
      <c r="C115" s="33" t="s">
        <v>133</v>
      </c>
      <c r="D115" s="33" t="s">
        <v>134</v>
      </c>
      <c r="E115" s="25" t="s">
        <v>135</v>
      </c>
      <c r="F115" s="32" t="s">
        <v>127</v>
      </c>
      <c r="G115" s="23" t="s">
        <v>164</v>
      </c>
      <c r="H115" s="29">
        <f t="shared" ref="H115:H125" si="6">I115+J115</f>
        <v>124000</v>
      </c>
      <c r="I115" s="29">
        <f>141000-17000</f>
        <v>124000</v>
      </c>
      <c r="J115" s="29"/>
      <c r="K115" s="29"/>
    </row>
    <row r="116" spans="1:11" ht="70.150000000000006" customHeight="1" x14ac:dyDescent="0.2">
      <c r="B116" s="33"/>
      <c r="C116" s="33"/>
      <c r="D116" s="33"/>
      <c r="E116" s="25"/>
      <c r="F116" s="32" t="s">
        <v>292</v>
      </c>
      <c r="G116" s="23" t="s">
        <v>194</v>
      </c>
      <c r="H116" s="29">
        <f>I116+J116</f>
        <v>255270</v>
      </c>
      <c r="I116" s="29">
        <f>I118+I119+I120+I123+I117+I122+I121</f>
        <v>228045</v>
      </c>
      <c r="J116" s="29">
        <f>J118+J119+J120+J123+J117+J122+J121</f>
        <v>27225</v>
      </c>
      <c r="K116" s="29">
        <f>K118+K119+K120+K123+K117+K122+K121</f>
        <v>27225</v>
      </c>
    </row>
    <row r="117" spans="1:11" ht="45" customHeight="1" x14ac:dyDescent="0.2">
      <c r="B117" s="137" t="s">
        <v>336</v>
      </c>
      <c r="C117" s="137" t="s">
        <v>337</v>
      </c>
      <c r="D117" s="137" t="s">
        <v>334</v>
      </c>
      <c r="E117" s="143" t="s">
        <v>338</v>
      </c>
      <c r="F117" s="32"/>
      <c r="G117" s="23"/>
      <c r="H117" s="30">
        <f t="shared" si="6"/>
        <v>2500</v>
      </c>
      <c r="I117" s="30">
        <v>2500</v>
      </c>
      <c r="J117" s="29"/>
      <c r="K117" s="29"/>
    </row>
    <row r="118" spans="1:11" ht="31.9" customHeight="1" x14ac:dyDescent="0.25">
      <c r="B118" s="127" t="s">
        <v>128</v>
      </c>
      <c r="C118" s="127" t="s">
        <v>129</v>
      </c>
      <c r="D118" s="127" t="s">
        <v>130</v>
      </c>
      <c r="E118" s="40" t="s">
        <v>131</v>
      </c>
      <c r="F118" s="24"/>
      <c r="G118" s="23"/>
      <c r="H118" s="30">
        <f t="shared" si="6"/>
        <v>88800</v>
      </c>
      <c r="I118" s="30">
        <f>10000+15000+23120+25680-12225</f>
        <v>61575</v>
      </c>
      <c r="J118" s="30">
        <f>15000+12225</f>
        <v>27225</v>
      </c>
      <c r="K118" s="30">
        <f>15000+12225</f>
        <v>27225</v>
      </c>
    </row>
    <row r="119" spans="1:11" ht="50.45" customHeight="1" x14ac:dyDescent="0.25">
      <c r="B119" s="126" t="s">
        <v>136</v>
      </c>
      <c r="C119" s="126" t="s">
        <v>137</v>
      </c>
      <c r="D119" s="126" t="s">
        <v>138</v>
      </c>
      <c r="E119" s="35" t="s">
        <v>265</v>
      </c>
      <c r="F119" s="24"/>
      <c r="G119" s="23"/>
      <c r="H119" s="30">
        <f t="shared" si="6"/>
        <v>89970</v>
      </c>
      <c r="I119" s="30">
        <f>39970+40000+10000</f>
        <v>89970</v>
      </c>
      <c r="J119" s="30"/>
      <c r="K119" s="30"/>
    </row>
    <row r="120" spans="1:11" ht="52.5" customHeight="1" x14ac:dyDescent="0.25">
      <c r="B120" s="126" t="s">
        <v>139</v>
      </c>
      <c r="C120" s="126" t="s">
        <v>140</v>
      </c>
      <c r="D120" s="126" t="s">
        <v>138</v>
      </c>
      <c r="E120" s="35" t="s">
        <v>141</v>
      </c>
      <c r="F120" s="24"/>
      <c r="G120" s="23"/>
      <c r="H120" s="30">
        <f t="shared" si="6"/>
        <v>15000</v>
      </c>
      <c r="I120" s="30">
        <v>15000</v>
      </c>
      <c r="J120" s="30"/>
      <c r="K120" s="30"/>
    </row>
    <row r="121" spans="1:11" ht="52.5" hidden="1" customHeight="1" x14ac:dyDescent="0.25">
      <c r="B121" s="126"/>
      <c r="C121" s="126"/>
      <c r="D121" s="126"/>
      <c r="E121" s="35"/>
      <c r="F121" s="24"/>
      <c r="G121" s="23"/>
      <c r="H121" s="30"/>
      <c r="I121" s="30"/>
      <c r="J121" s="30"/>
      <c r="K121" s="30"/>
    </row>
    <row r="122" spans="1:11" ht="52.5" hidden="1" customHeight="1" x14ac:dyDescent="0.25">
      <c r="B122" s="126" t="s">
        <v>368</v>
      </c>
      <c r="C122" s="126" t="s">
        <v>13</v>
      </c>
      <c r="D122" s="126" t="s">
        <v>14</v>
      </c>
      <c r="E122" s="40" t="s">
        <v>15</v>
      </c>
      <c r="F122" s="24" t="s">
        <v>376</v>
      </c>
      <c r="G122" s="23"/>
      <c r="H122" s="30">
        <f t="shared" si="6"/>
        <v>0</v>
      </c>
      <c r="I122" s="30">
        <f>100000-100000</f>
        <v>0</v>
      </c>
      <c r="J122" s="30">
        <v>0</v>
      </c>
      <c r="K122" s="30">
        <v>0</v>
      </c>
    </row>
    <row r="123" spans="1:11" ht="52.5" customHeight="1" x14ac:dyDescent="0.25">
      <c r="B123" s="123" t="s">
        <v>309</v>
      </c>
      <c r="C123" s="123" t="s">
        <v>310</v>
      </c>
      <c r="D123" s="123" t="s">
        <v>144</v>
      </c>
      <c r="E123" s="124" t="s">
        <v>145</v>
      </c>
      <c r="F123" s="24"/>
      <c r="G123" s="23"/>
      <c r="H123" s="30">
        <f t="shared" si="6"/>
        <v>59000</v>
      </c>
      <c r="I123" s="30">
        <v>59000</v>
      </c>
      <c r="J123" s="30"/>
      <c r="K123" s="30"/>
    </row>
    <row r="124" spans="1:11" s="8" customFormat="1" ht="72" customHeight="1" x14ac:dyDescent="0.2">
      <c r="A124" s="7"/>
      <c r="B124" s="23"/>
      <c r="C124" s="39"/>
      <c r="D124" s="39"/>
      <c r="E124" s="39"/>
      <c r="F124" s="32" t="s">
        <v>207</v>
      </c>
      <c r="G124" s="23" t="s">
        <v>264</v>
      </c>
      <c r="H124" s="29">
        <f t="shared" si="6"/>
        <v>2191000</v>
      </c>
      <c r="I124" s="29">
        <f>I125+I128+I129+I130+I131</f>
        <v>1594000</v>
      </c>
      <c r="J124" s="29">
        <f>J125+J128+J129+J130+J131</f>
        <v>597000</v>
      </c>
      <c r="K124" s="29">
        <f>K125+K128+K129+K130+K131</f>
        <v>597000</v>
      </c>
    </row>
    <row r="125" spans="1:11" ht="39.6" customHeight="1" x14ac:dyDescent="0.25">
      <c r="B125" s="43" t="s">
        <v>128</v>
      </c>
      <c r="C125" s="43" t="s">
        <v>129</v>
      </c>
      <c r="D125" s="43" t="s">
        <v>130</v>
      </c>
      <c r="E125" s="38" t="s">
        <v>131</v>
      </c>
      <c r="F125" s="44"/>
      <c r="G125" s="45"/>
      <c r="H125" s="30">
        <f t="shared" si="6"/>
        <v>724000</v>
      </c>
      <c r="I125" s="46">
        <f>I126+I127</f>
        <v>624000</v>
      </c>
      <c r="J125" s="46">
        <f>100000+168246-168246</f>
        <v>100000</v>
      </c>
      <c r="K125" s="46">
        <f>100000+168246-168246</f>
        <v>100000</v>
      </c>
    </row>
    <row r="126" spans="1:11" ht="54.6" hidden="1" customHeight="1" x14ac:dyDescent="0.2">
      <c r="B126" s="64"/>
      <c r="C126" s="64"/>
      <c r="D126" s="64"/>
      <c r="E126" s="64"/>
      <c r="F126" s="24"/>
      <c r="G126" s="23"/>
      <c r="H126" s="30">
        <f>I126+J125</f>
        <v>644000</v>
      </c>
      <c r="I126" s="30">
        <f>2000000-150000-1206000-100000</f>
        <v>544000</v>
      </c>
      <c r="J126" s="30"/>
      <c r="K126" s="30"/>
    </row>
    <row r="127" spans="1:11" ht="53.25" customHeight="1" x14ac:dyDescent="0.2">
      <c r="B127" s="66"/>
      <c r="C127" s="66"/>
      <c r="D127" s="66"/>
      <c r="E127" s="66"/>
      <c r="F127" s="24" t="s">
        <v>285</v>
      </c>
      <c r="G127" s="23"/>
      <c r="H127" s="30">
        <f>I127+J127</f>
        <v>80000</v>
      </c>
      <c r="I127" s="30">
        <f>80000</f>
        <v>80000</v>
      </c>
      <c r="J127" s="30"/>
      <c r="K127" s="30"/>
    </row>
    <row r="128" spans="1:11" ht="53.25" customHeight="1" x14ac:dyDescent="0.25">
      <c r="B128" s="33" t="s">
        <v>136</v>
      </c>
      <c r="C128" s="33" t="s">
        <v>137</v>
      </c>
      <c r="D128" s="33" t="s">
        <v>138</v>
      </c>
      <c r="E128" s="25" t="s">
        <v>265</v>
      </c>
      <c r="F128" s="67"/>
      <c r="G128" s="23"/>
      <c r="H128" s="30">
        <f>I128+J128</f>
        <v>469610</v>
      </c>
      <c r="I128" s="30">
        <f>627110-157500</f>
        <v>469610</v>
      </c>
      <c r="J128" s="30"/>
      <c r="K128" s="30"/>
    </row>
    <row r="129" spans="1:12" ht="50.25" customHeight="1" x14ac:dyDescent="0.25">
      <c r="B129" s="33" t="s">
        <v>139</v>
      </c>
      <c r="C129" s="33" t="s">
        <v>140</v>
      </c>
      <c r="D129" s="33" t="s">
        <v>138</v>
      </c>
      <c r="E129" s="25" t="s">
        <v>141</v>
      </c>
      <c r="F129" s="67"/>
      <c r="G129" s="23"/>
      <c r="H129" s="30">
        <f>I129+J129</f>
        <v>297220</v>
      </c>
      <c r="I129" s="30">
        <f>322720-25500</f>
        <v>297220</v>
      </c>
      <c r="J129" s="30"/>
      <c r="K129" s="30"/>
    </row>
    <row r="130" spans="1:12" ht="100.5" customHeight="1" x14ac:dyDescent="0.25">
      <c r="B130" s="33" t="s">
        <v>142</v>
      </c>
      <c r="C130" s="33" t="s">
        <v>143</v>
      </c>
      <c r="D130" s="33" t="s">
        <v>138</v>
      </c>
      <c r="E130" s="25" t="s">
        <v>211</v>
      </c>
      <c r="F130" s="67"/>
      <c r="G130" s="23"/>
      <c r="H130" s="30">
        <f>I130+J130</f>
        <v>50170</v>
      </c>
      <c r="I130" s="30">
        <v>50170</v>
      </c>
      <c r="J130" s="30"/>
      <c r="K130" s="30"/>
    </row>
    <row r="131" spans="1:12" ht="33.75" customHeight="1" x14ac:dyDescent="0.2">
      <c r="B131" s="22">
        <v>1017622</v>
      </c>
      <c r="C131" s="22">
        <v>7622</v>
      </c>
      <c r="D131" s="22" t="s">
        <v>144</v>
      </c>
      <c r="E131" s="42" t="s">
        <v>145</v>
      </c>
      <c r="F131" s="24"/>
      <c r="G131" s="23"/>
      <c r="H131" s="30">
        <f>I131+J131</f>
        <v>650000</v>
      </c>
      <c r="I131" s="30">
        <f>500000-327000-20000</f>
        <v>153000</v>
      </c>
      <c r="J131" s="30">
        <f>327000+170000</f>
        <v>497000</v>
      </c>
      <c r="K131" s="30">
        <f>327000+170000</f>
        <v>497000</v>
      </c>
    </row>
    <row r="132" spans="1:12" ht="75.599999999999994" customHeight="1" x14ac:dyDescent="0.2">
      <c r="B132" s="22"/>
      <c r="C132" s="22"/>
      <c r="D132" s="22"/>
      <c r="E132" s="42"/>
      <c r="F132" s="32" t="s">
        <v>296</v>
      </c>
      <c r="G132" s="23" t="s">
        <v>168</v>
      </c>
      <c r="H132" s="29">
        <f>SUM(H133:H139)</f>
        <v>102050</v>
      </c>
      <c r="I132" s="29">
        <f>SUM(I133:I139)</f>
        <v>102050</v>
      </c>
      <c r="J132" s="29">
        <f>SUM(J133:J139)</f>
        <v>0</v>
      </c>
      <c r="K132" s="29">
        <f>SUM(K133:K139)</f>
        <v>0</v>
      </c>
      <c r="L132" s="29"/>
    </row>
    <row r="133" spans="1:12" s="139" customFormat="1" ht="77.45" customHeight="1" x14ac:dyDescent="0.25">
      <c r="A133" s="138"/>
      <c r="B133" s="123" t="s">
        <v>327</v>
      </c>
      <c r="C133" s="123" t="s">
        <v>319</v>
      </c>
      <c r="D133" s="123" t="s">
        <v>320</v>
      </c>
      <c r="E133" s="124" t="s">
        <v>328</v>
      </c>
      <c r="F133" s="24"/>
      <c r="G133" s="23"/>
      <c r="H133" s="30">
        <f>I133+J133</f>
        <v>6110</v>
      </c>
      <c r="I133" s="30">
        <f>5000+1110</f>
        <v>6110</v>
      </c>
      <c r="J133" s="30"/>
      <c r="K133" s="30"/>
    </row>
    <row r="134" spans="1:12" s="139" customFormat="1" ht="64.900000000000006" customHeight="1" x14ac:dyDescent="0.25">
      <c r="A134" s="138"/>
      <c r="B134" s="22" t="s">
        <v>329</v>
      </c>
      <c r="C134" s="22" t="s">
        <v>330</v>
      </c>
      <c r="D134" s="22" t="s">
        <v>331</v>
      </c>
      <c r="E134" s="42" t="s">
        <v>387</v>
      </c>
      <c r="F134" s="24"/>
      <c r="G134" s="23"/>
      <c r="H134" s="30">
        <f t="shared" ref="H134:H139" si="7">I134+J134</f>
        <v>24300</v>
      </c>
      <c r="I134" s="30">
        <f>9500+13200+1600</f>
        <v>24300</v>
      </c>
      <c r="J134" s="30"/>
      <c r="K134" s="30"/>
    </row>
    <row r="135" spans="1:12" s="139" customFormat="1" ht="33.75" customHeight="1" x14ac:dyDescent="0.25">
      <c r="A135" s="138"/>
      <c r="B135" s="22" t="s">
        <v>332</v>
      </c>
      <c r="C135" s="22" t="s">
        <v>333</v>
      </c>
      <c r="D135" s="22" t="s">
        <v>334</v>
      </c>
      <c r="E135" s="42" t="s">
        <v>335</v>
      </c>
      <c r="F135" s="24"/>
      <c r="G135" s="23"/>
      <c r="H135" s="30">
        <f t="shared" si="7"/>
        <v>21604</v>
      </c>
      <c r="I135" s="30">
        <f>6500+15104</f>
        <v>21604</v>
      </c>
      <c r="J135" s="30"/>
      <c r="K135" s="30"/>
    </row>
    <row r="136" spans="1:12" s="139" customFormat="1" ht="33.75" customHeight="1" x14ac:dyDescent="0.25">
      <c r="A136" s="138"/>
      <c r="B136" s="22" t="s">
        <v>336</v>
      </c>
      <c r="C136" s="22" t="s">
        <v>337</v>
      </c>
      <c r="D136" s="22" t="s">
        <v>334</v>
      </c>
      <c r="E136" s="42" t="s">
        <v>338</v>
      </c>
      <c r="F136" s="24"/>
      <c r="G136" s="23"/>
      <c r="H136" s="30">
        <f t="shared" si="7"/>
        <v>11808</v>
      </c>
      <c r="I136" s="30">
        <f>4800+7008</f>
        <v>11808</v>
      </c>
      <c r="J136" s="30"/>
      <c r="K136" s="30"/>
    </row>
    <row r="137" spans="1:12" s="139" customFormat="1" ht="66" customHeight="1" x14ac:dyDescent="0.25">
      <c r="A137" s="138"/>
      <c r="B137" s="22" t="s">
        <v>339</v>
      </c>
      <c r="C137" s="22" t="s">
        <v>340</v>
      </c>
      <c r="D137" s="22" t="s">
        <v>341</v>
      </c>
      <c r="E137" s="42" t="s">
        <v>342</v>
      </c>
      <c r="F137" s="24"/>
      <c r="G137" s="23"/>
      <c r="H137" s="30">
        <f t="shared" si="7"/>
        <v>15338</v>
      </c>
      <c r="I137" s="30">
        <f>6000+9338</f>
        <v>15338</v>
      </c>
      <c r="J137" s="30"/>
      <c r="K137" s="30"/>
    </row>
    <row r="138" spans="1:12" s="139" customFormat="1" ht="52.9" customHeight="1" x14ac:dyDescent="0.25">
      <c r="A138" s="138"/>
      <c r="B138" s="22" t="s">
        <v>343</v>
      </c>
      <c r="C138" s="22" t="s">
        <v>344</v>
      </c>
      <c r="D138" s="22" t="s">
        <v>130</v>
      </c>
      <c r="E138" s="42" t="s">
        <v>345</v>
      </c>
      <c r="F138" s="24"/>
      <c r="G138" s="23"/>
      <c r="H138" s="30">
        <f t="shared" si="7"/>
        <v>5690</v>
      </c>
      <c r="I138" s="30">
        <f>4000+1690</f>
        <v>5690</v>
      </c>
      <c r="J138" s="30"/>
      <c r="K138" s="30"/>
    </row>
    <row r="139" spans="1:12" s="139" customFormat="1" ht="66" customHeight="1" x14ac:dyDescent="0.25">
      <c r="A139" s="138"/>
      <c r="B139" s="22" t="s">
        <v>346</v>
      </c>
      <c r="C139" s="22" t="s">
        <v>347</v>
      </c>
      <c r="D139" s="22" t="s">
        <v>138</v>
      </c>
      <c r="E139" s="42" t="s">
        <v>348</v>
      </c>
      <c r="F139" s="24"/>
      <c r="G139" s="23"/>
      <c r="H139" s="30">
        <f t="shared" si="7"/>
        <v>17200</v>
      </c>
      <c r="I139" s="30">
        <f>8500+8700</f>
        <v>17200</v>
      </c>
      <c r="J139" s="30"/>
      <c r="K139" s="30"/>
    </row>
    <row r="140" spans="1:12" s="8" customFormat="1" ht="32.25" customHeight="1" x14ac:dyDescent="0.2">
      <c r="A140" s="7"/>
      <c r="B140" s="22"/>
      <c r="C140" s="31"/>
      <c r="D140" s="31"/>
      <c r="E140" s="98" t="s">
        <v>11</v>
      </c>
      <c r="F140" s="103"/>
      <c r="G140" s="98"/>
      <c r="H140" s="61">
        <f>I140+J140</f>
        <v>2672320</v>
      </c>
      <c r="I140" s="61">
        <f>I124+I115+I116+I132</f>
        <v>2048095</v>
      </c>
      <c r="J140" s="61">
        <f>J124+J115+J116+J132</f>
        <v>624225</v>
      </c>
      <c r="K140" s="61">
        <f>K124+K115+K116+K132</f>
        <v>624225</v>
      </c>
    </row>
    <row r="141" spans="1:12" ht="15.75" hidden="1" x14ac:dyDescent="0.2">
      <c r="B141" s="22"/>
      <c r="C141" s="22"/>
      <c r="D141" s="22"/>
      <c r="E141" s="23"/>
      <c r="F141" s="24"/>
      <c r="G141" s="23"/>
      <c r="H141" s="23">
        <f>I141+J141</f>
        <v>0</v>
      </c>
      <c r="I141" s="23"/>
      <c r="J141" s="23"/>
      <c r="K141" s="23"/>
    </row>
    <row r="142" spans="1:12" ht="15.75" hidden="1" x14ac:dyDescent="0.2">
      <c r="B142" s="22"/>
      <c r="C142" s="22"/>
      <c r="D142" s="22"/>
      <c r="E142" s="23"/>
      <c r="F142" s="24"/>
      <c r="G142" s="23"/>
      <c r="H142" s="23">
        <f>I142+J142</f>
        <v>0</v>
      </c>
      <c r="I142" s="23"/>
      <c r="J142" s="23"/>
      <c r="K142" s="23"/>
    </row>
    <row r="143" spans="1:12" ht="15.75" hidden="1" x14ac:dyDescent="0.2">
      <c r="B143" s="22"/>
      <c r="C143" s="22"/>
      <c r="D143" s="22"/>
      <c r="E143" s="23"/>
      <c r="F143" s="24"/>
      <c r="G143" s="23"/>
      <c r="H143" s="23">
        <f>I143+J143</f>
        <v>0</v>
      </c>
      <c r="I143" s="23"/>
      <c r="J143" s="23"/>
      <c r="K143" s="23"/>
    </row>
    <row r="144" spans="1:12" ht="74.25" customHeight="1" x14ac:dyDescent="0.2">
      <c r="B144" s="49">
        <v>1200000</v>
      </c>
      <c r="C144" s="106"/>
      <c r="D144" s="106"/>
      <c r="E144" s="101" t="s">
        <v>266</v>
      </c>
      <c r="F144" s="24"/>
      <c r="G144" s="23"/>
      <c r="H144" s="23"/>
      <c r="I144" s="23"/>
      <c r="J144" s="23"/>
      <c r="K144" s="23"/>
    </row>
    <row r="145" spans="2:11" ht="79.5" customHeight="1" x14ac:dyDescent="0.25">
      <c r="B145" s="49">
        <v>1210000</v>
      </c>
      <c r="C145" s="107"/>
      <c r="D145" s="107"/>
      <c r="E145" s="80" t="s">
        <v>266</v>
      </c>
      <c r="F145" s="24"/>
      <c r="G145" s="23"/>
      <c r="H145" s="23"/>
      <c r="I145" s="23"/>
      <c r="J145" s="23"/>
      <c r="K145" s="23"/>
    </row>
    <row r="146" spans="2:11" ht="98.25" customHeight="1" x14ac:dyDescent="0.2">
      <c r="B146" s="23"/>
      <c r="C146" s="23"/>
      <c r="D146" s="23"/>
      <c r="E146" s="23"/>
      <c r="F146" s="32" t="s">
        <v>224</v>
      </c>
      <c r="G146" s="23" t="s">
        <v>22</v>
      </c>
      <c r="H146" s="29">
        <f>I146+J146</f>
        <v>59812992</v>
      </c>
      <c r="I146" s="29">
        <f>I147+I164+I151+I167+I166+I150</f>
        <v>54567913</v>
      </c>
      <c r="J146" s="29">
        <f>J147+J164+J151+J167+J166+J150</f>
        <v>5245079</v>
      </c>
      <c r="K146" s="29">
        <f>K147+K164+K151+K167+K166+K150</f>
        <v>5245079</v>
      </c>
    </row>
    <row r="147" spans="2:11" ht="59.25" customHeight="1" x14ac:dyDescent="0.2">
      <c r="B147" s="23">
        <v>1216011</v>
      </c>
      <c r="C147" s="23">
        <v>6011</v>
      </c>
      <c r="D147" s="33" t="s">
        <v>171</v>
      </c>
      <c r="E147" s="42" t="s">
        <v>41</v>
      </c>
      <c r="F147" s="24" t="s">
        <v>225</v>
      </c>
      <c r="G147" s="23"/>
      <c r="H147" s="29">
        <f t="shared" ref="H147:H152" si="8">I147+J147</f>
        <v>3191027</v>
      </c>
      <c r="I147" s="29">
        <f>3000000+17910+199949-22451-4381</f>
        <v>3191027</v>
      </c>
      <c r="J147" s="29">
        <f>J148+J149</f>
        <v>0</v>
      </c>
      <c r="K147" s="29">
        <f>K148+K149</f>
        <v>0</v>
      </c>
    </row>
    <row r="148" spans="2:11" ht="102.75" hidden="1" customHeight="1" x14ac:dyDescent="0.2">
      <c r="B148" s="23"/>
      <c r="C148" s="23"/>
      <c r="D148" s="23"/>
      <c r="E148" s="47" t="s">
        <v>199</v>
      </c>
      <c r="F148" s="24" t="s">
        <v>210</v>
      </c>
      <c r="G148" s="23"/>
      <c r="H148" s="30">
        <f t="shared" si="8"/>
        <v>0</v>
      </c>
      <c r="I148" s="30"/>
      <c r="J148" s="30"/>
      <c r="K148" s="30"/>
    </row>
    <row r="149" spans="2:11" ht="1.5" customHeight="1" x14ac:dyDescent="0.2">
      <c r="B149" s="23"/>
      <c r="C149" s="23"/>
      <c r="D149" s="23"/>
      <c r="E149" s="23"/>
      <c r="F149" s="24" t="s">
        <v>170</v>
      </c>
      <c r="G149" s="23"/>
      <c r="H149" s="30">
        <f t="shared" si="8"/>
        <v>0</v>
      </c>
      <c r="I149" s="30">
        <v>0</v>
      </c>
      <c r="J149" s="30"/>
      <c r="K149" s="30"/>
    </row>
    <row r="150" spans="2:11" ht="104.25" customHeight="1" x14ac:dyDescent="0.2">
      <c r="B150" s="23">
        <v>1216013</v>
      </c>
      <c r="C150" s="23">
        <v>6013</v>
      </c>
      <c r="D150" s="22" t="s">
        <v>14</v>
      </c>
      <c r="E150" s="42" t="s">
        <v>227</v>
      </c>
      <c r="F150" s="24" t="s">
        <v>398</v>
      </c>
      <c r="G150" s="23"/>
      <c r="H150" s="29">
        <f>I150+J150</f>
        <v>270000</v>
      </c>
      <c r="I150" s="29">
        <v>270000</v>
      </c>
      <c r="J150" s="29">
        <v>0</v>
      </c>
      <c r="K150" s="29">
        <v>0</v>
      </c>
    </row>
    <row r="151" spans="2:11" ht="48" customHeight="1" x14ac:dyDescent="0.25">
      <c r="B151" s="33" t="s">
        <v>12</v>
      </c>
      <c r="C151" s="33" t="s">
        <v>13</v>
      </c>
      <c r="D151" s="33" t="s">
        <v>14</v>
      </c>
      <c r="E151" s="25" t="s">
        <v>15</v>
      </c>
      <c r="F151" s="48"/>
      <c r="G151" s="23"/>
      <c r="H151" s="29">
        <f>I151+J151</f>
        <v>28454642</v>
      </c>
      <c r="I151" s="29">
        <f>I152+I156+I159+I160+I157+I162+I161+I163</f>
        <v>28307642</v>
      </c>
      <c r="J151" s="29">
        <f>J152+J156+J159+J160+J157+J162+J161+J163</f>
        <v>147000</v>
      </c>
      <c r="K151" s="29">
        <f>K152+K156+K159+K160+K157+K162+K161+K163</f>
        <v>147000</v>
      </c>
    </row>
    <row r="152" spans="2:11" ht="136.5" customHeight="1" x14ac:dyDescent="0.2">
      <c r="B152" s="64"/>
      <c r="C152" s="64"/>
      <c r="D152" s="64"/>
      <c r="E152" s="68" t="s">
        <v>199</v>
      </c>
      <c r="F152" s="24" t="s">
        <v>404</v>
      </c>
      <c r="G152" s="23"/>
      <c r="H152" s="30">
        <f t="shared" si="8"/>
        <v>24780140</v>
      </c>
      <c r="I152" s="30">
        <f>14450900+2022700+100000+50770+464000+30509+99243+4000000+281400+623050+20000+300000+320000-623050-113000+113000-30509+150000+2000000+784000+56300-70000-29173-220000</f>
        <v>24780140</v>
      </c>
      <c r="J152" s="30">
        <v>0</v>
      </c>
      <c r="K152" s="30"/>
    </row>
    <row r="153" spans="2:11" ht="90.75" hidden="1" customHeight="1" x14ac:dyDescent="0.2">
      <c r="B153" s="65"/>
      <c r="C153" s="65"/>
      <c r="D153" s="65"/>
      <c r="E153" s="65"/>
      <c r="F153" s="24" t="s">
        <v>157</v>
      </c>
      <c r="G153" s="23"/>
      <c r="H153" s="30">
        <v>0</v>
      </c>
      <c r="I153" s="30">
        <v>0</v>
      </c>
      <c r="J153" s="30">
        <v>0</v>
      </c>
      <c r="K153" s="30">
        <v>0</v>
      </c>
    </row>
    <row r="154" spans="2:11" ht="14.25" hidden="1" customHeight="1" x14ac:dyDescent="0.2">
      <c r="B154" s="65"/>
      <c r="C154" s="65"/>
      <c r="D154" s="65"/>
      <c r="E154" s="65"/>
      <c r="F154" s="24" t="s">
        <v>16</v>
      </c>
      <c r="G154" s="23"/>
      <c r="H154" s="30">
        <v>0</v>
      </c>
      <c r="I154" s="30">
        <v>0</v>
      </c>
      <c r="J154" s="30"/>
      <c r="K154" s="30"/>
    </row>
    <row r="155" spans="2:11" ht="173.25" hidden="1" customHeight="1" x14ac:dyDescent="0.2">
      <c r="B155" s="65"/>
      <c r="C155" s="65"/>
      <c r="D155" s="65"/>
      <c r="E155" s="65"/>
      <c r="F155" s="24" t="s">
        <v>198</v>
      </c>
      <c r="G155" s="23"/>
      <c r="H155" s="30">
        <f>I155</f>
        <v>0</v>
      </c>
      <c r="I155" s="30"/>
      <c r="J155" s="30"/>
      <c r="K155" s="30"/>
    </row>
    <row r="156" spans="2:11" ht="78" customHeight="1" x14ac:dyDescent="0.2">
      <c r="B156" s="65"/>
      <c r="C156" s="65"/>
      <c r="D156" s="65"/>
      <c r="E156" s="65"/>
      <c r="F156" s="81" t="s">
        <v>399</v>
      </c>
      <c r="G156" s="64"/>
      <c r="H156" s="82">
        <f>I156+J156</f>
        <v>3176432</v>
      </c>
      <c r="I156" s="82">
        <f>3000600+160000+30509-14677</f>
        <v>3176432</v>
      </c>
      <c r="J156" s="82"/>
      <c r="K156" s="82"/>
    </row>
    <row r="157" spans="2:11" ht="267" customHeight="1" x14ac:dyDescent="0.2">
      <c r="B157" s="65"/>
      <c r="C157" s="65"/>
      <c r="D157" s="65"/>
      <c r="E157" s="65"/>
      <c r="F157" s="81" t="s">
        <v>401</v>
      </c>
      <c r="G157" s="64"/>
      <c r="H157" s="82">
        <f>I157+J157</f>
        <v>398570</v>
      </c>
      <c r="I157" s="82">
        <f>900000+150000+41810-150000+193339-41810+4381+43850-840000</f>
        <v>301570</v>
      </c>
      <c r="J157" s="82">
        <f>49000+50000+48000-50000+49999-49999</f>
        <v>97000</v>
      </c>
      <c r="K157" s="82">
        <f>J157</f>
        <v>97000</v>
      </c>
    </row>
    <row r="158" spans="2:11" ht="69" hidden="1" customHeight="1" x14ac:dyDescent="0.2">
      <c r="B158" s="65"/>
      <c r="C158" s="65"/>
      <c r="D158" s="65"/>
      <c r="E158" s="65"/>
      <c r="F158" s="81"/>
      <c r="G158" s="64"/>
      <c r="H158" s="82"/>
      <c r="I158" s="82"/>
      <c r="J158" s="82"/>
      <c r="K158" s="82"/>
    </row>
    <row r="159" spans="2:11" ht="60" hidden="1" customHeight="1" x14ac:dyDescent="0.2">
      <c r="B159" s="65"/>
      <c r="C159" s="65"/>
      <c r="D159" s="65"/>
      <c r="E159" s="65"/>
      <c r="F159" s="81"/>
      <c r="G159" s="64"/>
      <c r="H159" s="82"/>
      <c r="I159" s="82"/>
      <c r="J159" s="82">
        <v>0</v>
      </c>
      <c r="K159" s="82">
        <v>0</v>
      </c>
    </row>
    <row r="160" spans="2:11" ht="119.25" hidden="1" customHeight="1" x14ac:dyDescent="0.2">
      <c r="B160" s="65"/>
      <c r="C160" s="65"/>
      <c r="D160" s="65"/>
      <c r="E160" s="65"/>
      <c r="F160" s="81"/>
      <c r="G160" s="64"/>
      <c r="H160" s="82"/>
      <c r="I160" s="82"/>
      <c r="J160" s="82"/>
      <c r="K160" s="82"/>
    </row>
    <row r="161" spans="2:11" ht="1.5" hidden="1" customHeight="1" x14ac:dyDescent="0.2">
      <c r="B161" s="65"/>
      <c r="C161" s="65"/>
      <c r="D161" s="65"/>
      <c r="E161" s="65"/>
      <c r="F161" s="81"/>
      <c r="G161" s="64"/>
      <c r="H161" s="82"/>
      <c r="I161" s="82"/>
      <c r="J161" s="82"/>
      <c r="K161" s="82"/>
    </row>
    <row r="162" spans="2:11" ht="81.75" hidden="1" customHeight="1" x14ac:dyDescent="0.2">
      <c r="B162" s="65"/>
      <c r="C162" s="65"/>
      <c r="D162" s="65"/>
      <c r="E162" s="65"/>
      <c r="F162" s="81"/>
      <c r="G162" s="64"/>
      <c r="H162" s="82"/>
      <c r="I162" s="82"/>
      <c r="J162" s="82"/>
      <c r="K162" s="82"/>
    </row>
    <row r="163" spans="2:11" ht="171" customHeight="1" x14ac:dyDescent="0.2">
      <c r="B163" s="65"/>
      <c r="C163" s="65"/>
      <c r="D163" s="65"/>
      <c r="E163" s="65"/>
      <c r="F163" s="81" t="s">
        <v>389</v>
      </c>
      <c r="G163" s="64"/>
      <c r="H163" s="82">
        <f>I163+J163</f>
        <v>99500</v>
      </c>
      <c r="I163" s="82">
        <v>49500</v>
      </c>
      <c r="J163" s="82">
        <f>50000</f>
        <v>50000</v>
      </c>
      <c r="K163" s="82">
        <f>J163</f>
        <v>50000</v>
      </c>
    </row>
    <row r="164" spans="2:11" ht="66" customHeight="1" x14ac:dyDescent="0.2">
      <c r="B164" s="23">
        <v>1217310</v>
      </c>
      <c r="C164" s="23">
        <v>7310</v>
      </c>
      <c r="D164" s="33" t="s">
        <v>23</v>
      </c>
      <c r="E164" s="42" t="s">
        <v>173</v>
      </c>
      <c r="F164" s="24" t="s">
        <v>388</v>
      </c>
      <c r="G164" s="23"/>
      <c r="H164" s="30">
        <f>I164+J164</f>
        <v>2898079</v>
      </c>
      <c r="I164" s="30">
        <v>0</v>
      </c>
      <c r="J164" s="30">
        <f>3388000-253544-174230-20000-597197+20000+623050-23000-65000+45000-45000</f>
        <v>2898079</v>
      </c>
      <c r="K164" s="30">
        <f>J164</f>
        <v>2898079</v>
      </c>
    </row>
    <row r="165" spans="2:11" ht="4.5" hidden="1" customHeight="1" x14ac:dyDescent="0.2">
      <c r="B165" s="65"/>
      <c r="C165" s="65"/>
      <c r="D165" s="65"/>
      <c r="E165" s="65"/>
      <c r="F165" s="81"/>
      <c r="G165" s="64"/>
      <c r="H165" s="82"/>
      <c r="I165" s="82"/>
      <c r="J165" s="82"/>
      <c r="K165" s="82"/>
    </row>
    <row r="166" spans="2:11" ht="257.25" customHeight="1" x14ac:dyDescent="0.2">
      <c r="B166" s="33" t="s">
        <v>21</v>
      </c>
      <c r="C166" s="33" t="s">
        <v>8</v>
      </c>
      <c r="D166" s="33" t="s">
        <v>9</v>
      </c>
      <c r="E166" s="25" t="s">
        <v>10</v>
      </c>
      <c r="F166" s="81" t="s">
        <v>405</v>
      </c>
      <c r="G166" s="64"/>
      <c r="H166" s="82">
        <f t="shared" ref="H166:H171" si="9">I166+J166</f>
        <v>2289424</v>
      </c>
      <c r="I166" s="82">
        <f>59100+30324</f>
        <v>89424</v>
      </c>
      <c r="J166" s="82">
        <v>2200000</v>
      </c>
      <c r="K166" s="82">
        <v>2200000</v>
      </c>
    </row>
    <row r="167" spans="2:11" ht="98.25" customHeight="1" x14ac:dyDescent="0.2">
      <c r="B167" s="49">
        <v>1217693</v>
      </c>
      <c r="C167" s="49">
        <v>7693</v>
      </c>
      <c r="D167" s="43" t="s">
        <v>9</v>
      </c>
      <c r="E167" s="25" t="s">
        <v>17</v>
      </c>
      <c r="F167" s="24" t="s">
        <v>397</v>
      </c>
      <c r="G167" s="23"/>
      <c r="H167" s="30">
        <f t="shared" si="9"/>
        <v>22709820</v>
      </c>
      <c r="I167" s="30">
        <f>5093000+3500000+700000+200000+100000+14472+17848+1500000+550000+200000+1000000+3769500+65000+1000000+5000000</f>
        <v>22709820</v>
      </c>
      <c r="J167" s="30">
        <f>J168+J169</f>
        <v>0</v>
      </c>
      <c r="K167" s="30">
        <f>K168+K169</f>
        <v>0</v>
      </c>
    </row>
    <row r="168" spans="2:11" ht="150" hidden="1" customHeight="1" x14ac:dyDescent="0.2">
      <c r="B168" s="108"/>
      <c r="C168" s="108"/>
      <c r="D168" s="109"/>
      <c r="E168" s="110" t="s">
        <v>199</v>
      </c>
      <c r="F168" s="83" t="s">
        <v>203</v>
      </c>
      <c r="G168" s="66"/>
      <c r="H168" s="84">
        <f t="shared" si="9"/>
        <v>0</v>
      </c>
      <c r="I168" s="84"/>
      <c r="J168" s="84">
        <v>0</v>
      </c>
      <c r="K168" s="84"/>
    </row>
    <row r="169" spans="2:11" ht="49.5" hidden="1" customHeight="1" x14ac:dyDescent="0.2">
      <c r="B169" s="49"/>
      <c r="C169" s="49"/>
      <c r="D169" s="43"/>
      <c r="E169" s="25"/>
      <c r="F169" s="24" t="s">
        <v>208</v>
      </c>
      <c r="G169" s="23"/>
      <c r="H169" s="30">
        <f t="shared" si="9"/>
        <v>0</v>
      </c>
      <c r="I169" s="30"/>
      <c r="J169" s="30">
        <v>0</v>
      </c>
      <c r="K169" s="30">
        <v>0</v>
      </c>
    </row>
    <row r="170" spans="2:11" ht="95.25" customHeight="1" x14ac:dyDescent="0.2">
      <c r="B170" s="49"/>
      <c r="C170" s="49"/>
      <c r="D170" s="43"/>
      <c r="E170" s="25"/>
      <c r="F170" s="32" t="s">
        <v>270</v>
      </c>
      <c r="G170" s="23" t="s">
        <v>169</v>
      </c>
      <c r="H170" s="29">
        <f t="shared" si="9"/>
        <v>11157499</v>
      </c>
      <c r="I170" s="29">
        <f>I172+I173+I175+I176+I177+I171+I174+I178+I179</f>
        <v>0</v>
      </c>
      <c r="J170" s="29">
        <f>J172+J173+J175+J176+J177+J171+J174+J178+J179+J181+J180</f>
        <v>11157499</v>
      </c>
      <c r="K170" s="29">
        <f>K172+K173+K175+K176+K177+K171+K174+K178+K179+K181+K180</f>
        <v>11157499</v>
      </c>
    </row>
    <row r="171" spans="2:11" ht="37.5" customHeight="1" x14ac:dyDescent="0.2">
      <c r="B171" s="49">
        <v>1217310</v>
      </c>
      <c r="C171" s="49">
        <v>7310</v>
      </c>
      <c r="D171" s="43" t="s">
        <v>23</v>
      </c>
      <c r="E171" s="25" t="s">
        <v>173</v>
      </c>
      <c r="F171" s="24"/>
      <c r="G171" s="23"/>
      <c r="H171" s="30">
        <f t="shared" si="9"/>
        <v>3347941</v>
      </c>
      <c r="I171" s="30">
        <v>0</v>
      </c>
      <c r="J171" s="30">
        <f>1198100+2310000-430206+2000000+49810-116000-230000+494261-1928024</f>
        <v>3347941</v>
      </c>
      <c r="K171" s="30">
        <f>J171</f>
        <v>3347941</v>
      </c>
    </row>
    <row r="172" spans="2:11" ht="39.6" customHeight="1" x14ac:dyDescent="0.2">
      <c r="B172" s="49">
        <v>1217321</v>
      </c>
      <c r="C172" s="49">
        <v>7321</v>
      </c>
      <c r="D172" s="43" t="s">
        <v>23</v>
      </c>
      <c r="E172" s="25" t="s">
        <v>183</v>
      </c>
      <c r="F172" s="24"/>
      <c r="G172" s="23"/>
      <c r="H172" s="30">
        <f t="shared" ref="H172:H187" si="10">I172+J172</f>
        <v>6549438</v>
      </c>
      <c r="I172" s="30">
        <v>0</v>
      </c>
      <c r="J172" s="30">
        <f>10000000+2400000+4350000+2600000+384300+52400-1000000-800000-800000-700000+452890+1100000+16698-800000-1300000-335000-260000-900000+70000-72000-35254-2384365-10000-3397581-625350-1457300</f>
        <v>6549438</v>
      </c>
      <c r="K172" s="30">
        <f>J172</f>
        <v>6549438</v>
      </c>
    </row>
    <row r="173" spans="2:11" ht="85.5" hidden="1" customHeight="1" x14ac:dyDescent="0.2">
      <c r="B173" s="49">
        <v>1211020</v>
      </c>
      <c r="C173" s="49">
        <v>1020</v>
      </c>
      <c r="D173" s="43" t="s">
        <v>180</v>
      </c>
      <c r="E173" s="25" t="s">
        <v>278</v>
      </c>
      <c r="F173" s="24"/>
      <c r="G173" s="23"/>
      <c r="H173" s="30">
        <f t="shared" si="10"/>
        <v>0</v>
      </c>
      <c r="I173" s="30">
        <v>0</v>
      </c>
      <c r="J173" s="30">
        <f>750000+2100000+800000+700000-4350000</f>
        <v>0</v>
      </c>
      <c r="K173" s="30">
        <f>J173</f>
        <v>0</v>
      </c>
    </row>
    <row r="174" spans="2:11" ht="33" hidden="1" customHeight="1" x14ac:dyDescent="0.2">
      <c r="B174" s="49">
        <v>1217321</v>
      </c>
      <c r="C174" s="49">
        <v>7321</v>
      </c>
      <c r="D174" s="43" t="s">
        <v>23</v>
      </c>
      <c r="E174" s="25" t="s">
        <v>183</v>
      </c>
      <c r="F174" s="24"/>
      <c r="G174" s="23"/>
      <c r="H174" s="30">
        <f>I174+J174</f>
        <v>0</v>
      </c>
      <c r="I174" s="30">
        <v>0</v>
      </c>
      <c r="J174" s="30">
        <f>1000000+1600000-2600000</f>
        <v>0</v>
      </c>
      <c r="K174" s="30">
        <f>J174</f>
        <v>0</v>
      </c>
    </row>
    <row r="175" spans="2:11" ht="38.25" customHeight="1" x14ac:dyDescent="0.2">
      <c r="B175" s="49">
        <v>1217322</v>
      </c>
      <c r="C175" s="49">
        <v>7322</v>
      </c>
      <c r="D175" s="43" t="s">
        <v>23</v>
      </c>
      <c r="E175" s="25" t="s">
        <v>307</v>
      </c>
      <c r="F175" s="24"/>
      <c r="G175" s="23"/>
      <c r="H175" s="30">
        <f t="shared" si="10"/>
        <v>1260120</v>
      </c>
      <c r="I175" s="30">
        <v>0</v>
      </c>
      <c r="J175" s="30">
        <f>740000+602000+50000-27000-104880</f>
        <v>1260120</v>
      </c>
      <c r="K175" s="30">
        <f>J175</f>
        <v>1260120</v>
      </c>
    </row>
    <row r="176" spans="2:11" ht="48.75" hidden="1" customHeight="1" x14ac:dyDescent="0.2">
      <c r="B176" s="49">
        <v>1216011</v>
      </c>
      <c r="C176" s="49">
        <v>6011</v>
      </c>
      <c r="D176" s="43" t="s">
        <v>171</v>
      </c>
      <c r="E176" s="25" t="s">
        <v>41</v>
      </c>
      <c r="F176" s="24" t="s">
        <v>182</v>
      </c>
      <c r="G176" s="23"/>
      <c r="H176" s="30">
        <f t="shared" si="10"/>
        <v>0</v>
      </c>
      <c r="I176" s="30">
        <v>0</v>
      </c>
      <c r="J176" s="30"/>
      <c r="K176" s="30"/>
    </row>
    <row r="177" spans="2:11" ht="51.75" hidden="1" customHeight="1" x14ac:dyDescent="0.2">
      <c r="B177" s="49">
        <v>1216013</v>
      </c>
      <c r="C177" s="49">
        <v>6013</v>
      </c>
      <c r="D177" s="43" t="s">
        <v>14</v>
      </c>
      <c r="E177" s="25" t="s">
        <v>227</v>
      </c>
      <c r="F177" s="24"/>
      <c r="G177" s="23"/>
      <c r="H177" s="30">
        <f t="shared" si="10"/>
        <v>0</v>
      </c>
      <c r="I177" s="30">
        <v>0</v>
      </c>
      <c r="J177" s="30">
        <f>2310000-2310000</f>
        <v>0</v>
      </c>
      <c r="K177" s="30">
        <f>J177</f>
        <v>0</v>
      </c>
    </row>
    <row r="178" spans="2:11" ht="141" hidden="1" customHeight="1" x14ac:dyDescent="0.2">
      <c r="B178" s="49">
        <v>1217321</v>
      </c>
      <c r="C178" s="49">
        <v>7321</v>
      </c>
      <c r="D178" s="43" t="s">
        <v>23</v>
      </c>
      <c r="E178" s="25" t="s">
        <v>183</v>
      </c>
      <c r="F178" s="24" t="s">
        <v>204</v>
      </c>
      <c r="G178" s="23"/>
      <c r="H178" s="30">
        <f t="shared" si="10"/>
        <v>0</v>
      </c>
      <c r="I178" s="30">
        <v>0</v>
      </c>
      <c r="J178" s="30"/>
      <c r="K178" s="30"/>
    </row>
    <row r="179" spans="2:11" ht="82.5" hidden="1" customHeight="1" x14ac:dyDescent="0.2">
      <c r="B179" s="49">
        <v>1217330</v>
      </c>
      <c r="C179" s="49">
        <v>7330</v>
      </c>
      <c r="D179" s="43" t="s">
        <v>23</v>
      </c>
      <c r="E179" s="25" t="s">
        <v>219</v>
      </c>
      <c r="F179" s="24" t="s">
        <v>28</v>
      </c>
      <c r="G179" s="23"/>
      <c r="H179" s="30">
        <f t="shared" si="10"/>
        <v>0</v>
      </c>
      <c r="I179" s="30">
        <v>0</v>
      </c>
      <c r="J179" s="30"/>
      <c r="K179" s="30"/>
    </row>
    <row r="180" spans="2:11" ht="39" hidden="1" customHeight="1" x14ac:dyDescent="0.2">
      <c r="B180" s="49">
        <v>1217330</v>
      </c>
      <c r="C180" s="49">
        <v>7330</v>
      </c>
      <c r="D180" s="43" t="s">
        <v>23</v>
      </c>
      <c r="E180" s="25" t="s">
        <v>219</v>
      </c>
      <c r="F180" s="24"/>
      <c r="G180" s="23"/>
      <c r="H180" s="30">
        <f t="shared" si="10"/>
        <v>0</v>
      </c>
      <c r="I180" s="30">
        <v>0</v>
      </c>
      <c r="J180" s="30">
        <f>7000000-7000000</f>
        <v>0</v>
      </c>
      <c r="K180" s="30">
        <f>J180</f>
        <v>0</v>
      </c>
    </row>
    <row r="181" spans="2:11" ht="64.5" hidden="1" customHeight="1" x14ac:dyDescent="0.2">
      <c r="B181" s="49" t="s">
        <v>228</v>
      </c>
      <c r="C181" s="49" t="s">
        <v>229</v>
      </c>
      <c r="D181" s="43" t="s">
        <v>9</v>
      </c>
      <c r="E181" s="25" t="s">
        <v>230</v>
      </c>
      <c r="F181" s="24"/>
      <c r="G181" s="23"/>
      <c r="H181" s="30">
        <f>I181+J181</f>
        <v>0</v>
      </c>
      <c r="I181" s="30">
        <v>0</v>
      </c>
      <c r="J181" s="30">
        <f>2600000-2600000</f>
        <v>0</v>
      </c>
      <c r="K181" s="30">
        <f>J181</f>
        <v>0</v>
      </c>
    </row>
    <row r="182" spans="2:11" ht="75" customHeight="1" x14ac:dyDescent="0.2">
      <c r="B182" s="33"/>
      <c r="C182" s="33"/>
      <c r="D182" s="33"/>
      <c r="E182" s="25"/>
      <c r="F182" s="51" t="s">
        <v>273</v>
      </c>
      <c r="G182" s="23" t="s">
        <v>274</v>
      </c>
      <c r="H182" s="29">
        <f>I182+J182</f>
        <v>37258</v>
      </c>
      <c r="I182" s="29">
        <f>I184+I185</f>
        <v>37258</v>
      </c>
      <c r="J182" s="29">
        <f>J183</f>
        <v>0</v>
      </c>
      <c r="K182" s="29">
        <v>0</v>
      </c>
    </row>
    <row r="183" spans="2:11" ht="81.599999999999994" hidden="1" customHeight="1" x14ac:dyDescent="0.2">
      <c r="B183" s="33"/>
      <c r="C183" s="33"/>
      <c r="D183" s="33"/>
      <c r="E183" s="25"/>
      <c r="F183" s="50"/>
      <c r="G183" s="23"/>
      <c r="H183" s="30">
        <f t="shared" si="10"/>
        <v>0</v>
      </c>
      <c r="I183" s="30"/>
      <c r="J183" s="30">
        <v>0</v>
      </c>
      <c r="K183" s="30">
        <v>0</v>
      </c>
    </row>
    <row r="184" spans="2:11" ht="59.25" customHeight="1" x14ac:dyDescent="0.2">
      <c r="B184" s="33" t="s">
        <v>21</v>
      </c>
      <c r="C184" s="33" t="s">
        <v>8</v>
      </c>
      <c r="D184" s="33" t="s">
        <v>9</v>
      </c>
      <c r="E184" s="25" t="s">
        <v>10</v>
      </c>
      <c r="F184" s="50"/>
      <c r="G184" s="23"/>
      <c r="H184" s="30">
        <f>I184+J184</f>
        <v>37258</v>
      </c>
      <c r="I184" s="30">
        <f>14900+36798-14440</f>
        <v>37258</v>
      </c>
      <c r="J184" s="30">
        <v>0</v>
      </c>
      <c r="K184" s="30">
        <v>0</v>
      </c>
    </row>
    <row r="185" spans="2:11" ht="53.25" hidden="1" customHeight="1" x14ac:dyDescent="0.2">
      <c r="B185" s="33"/>
      <c r="C185" s="33"/>
      <c r="D185" s="33"/>
      <c r="E185" s="25"/>
      <c r="F185" s="50"/>
      <c r="G185" s="23"/>
      <c r="H185" s="30"/>
      <c r="I185" s="30"/>
      <c r="J185" s="30">
        <v>0</v>
      </c>
      <c r="K185" s="30">
        <v>0</v>
      </c>
    </row>
    <row r="186" spans="2:11" ht="64.5" customHeight="1" x14ac:dyDescent="0.2">
      <c r="B186" s="33" t="s">
        <v>21</v>
      </c>
      <c r="C186" s="33" t="s">
        <v>8</v>
      </c>
      <c r="D186" s="33" t="s">
        <v>9</v>
      </c>
      <c r="E186" s="25" t="s">
        <v>10</v>
      </c>
      <c r="F186" s="51" t="s">
        <v>279</v>
      </c>
      <c r="G186" s="23" t="s">
        <v>280</v>
      </c>
      <c r="H186" s="29">
        <f t="shared" si="10"/>
        <v>0</v>
      </c>
      <c r="I186" s="29">
        <f>3000-3000</f>
        <v>0</v>
      </c>
      <c r="J186" s="29">
        <v>0</v>
      </c>
      <c r="K186" s="29">
        <v>0</v>
      </c>
    </row>
    <row r="187" spans="2:11" ht="94.15" customHeight="1" x14ac:dyDescent="0.2">
      <c r="B187" s="33" t="s">
        <v>25</v>
      </c>
      <c r="C187" s="33" t="s">
        <v>26</v>
      </c>
      <c r="D187" s="33" t="s">
        <v>14</v>
      </c>
      <c r="E187" s="25" t="s">
        <v>27</v>
      </c>
      <c r="F187" s="32" t="s">
        <v>231</v>
      </c>
      <c r="G187" s="23" t="s">
        <v>24</v>
      </c>
      <c r="H187" s="29">
        <f t="shared" si="10"/>
        <v>71000</v>
      </c>
      <c r="I187" s="29">
        <v>71000</v>
      </c>
      <c r="J187" s="29">
        <v>0</v>
      </c>
      <c r="K187" s="29">
        <v>0</v>
      </c>
    </row>
    <row r="188" spans="2:11" ht="84" customHeight="1" x14ac:dyDescent="0.2">
      <c r="B188" s="33"/>
      <c r="C188" s="33"/>
      <c r="D188" s="33"/>
      <c r="E188" s="25"/>
      <c r="F188" s="51" t="s">
        <v>235</v>
      </c>
      <c r="G188" s="23" t="s">
        <v>33</v>
      </c>
      <c r="H188" s="29">
        <f>I188+J188</f>
        <v>1623820</v>
      </c>
      <c r="I188" s="29">
        <f>I189+I190+I191</f>
        <v>1542592</v>
      </c>
      <c r="J188" s="29">
        <f>J189+J190+J191</f>
        <v>81228</v>
      </c>
      <c r="K188" s="29">
        <f>K189+K190</f>
        <v>81228</v>
      </c>
    </row>
    <row r="189" spans="2:11" ht="46.9" customHeight="1" x14ac:dyDescent="0.2">
      <c r="B189" s="33" t="s">
        <v>12</v>
      </c>
      <c r="C189" s="33" t="s">
        <v>13</v>
      </c>
      <c r="D189" s="33" t="s">
        <v>14</v>
      </c>
      <c r="E189" s="25" t="s">
        <v>15</v>
      </c>
      <c r="F189" s="24" t="s">
        <v>236</v>
      </c>
      <c r="G189" s="23"/>
      <c r="H189" s="29">
        <f t="shared" ref="H189:H194" si="11">I189+J189</f>
        <v>908300</v>
      </c>
      <c r="I189" s="29">
        <f>789500+44500-6928</f>
        <v>827072</v>
      </c>
      <c r="J189" s="29">
        <f>24300+50000-1400+8328</f>
        <v>81228</v>
      </c>
      <c r="K189" s="29">
        <f>J189</f>
        <v>81228</v>
      </c>
    </row>
    <row r="190" spans="2:11" ht="66.599999999999994" customHeight="1" x14ac:dyDescent="0.2">
      <c r="B190" s="33" t="s">
        <v>29</v>
      </c>
      <c r="C190" s="33" t="s">
        <v>30</v>
      </c>
      <c r="D190" s="33" t="s">
        <v>31</v>
      </c>
      <c r="E190" s="25" t="s">
        <v>32</v>
      </c>
      <c r="F190" s="50" t="s">
        <v>237</v>
      </c>
      <c r="G190" s="23"/>
      <c r="H190" s="29">
        <f t="shared" si="11"/>
        <v>715520</v>
      </c>
      <c r="I190" s="29">
        <f>756100+60000-100580</f>
        <v>715520</v>
      </c>
      <c r="J190" s="29">
        <v>0</v>
      </c>
      <c r="K190" s="29">
        <v>0</v>
      </c>
    </row>
    <row r="191" spans="2:11" ht="57.75" hidden="1" customHeight="1" x14ac:dyDescent="0.2">
      <c r="B191" s="33"/>
      <c r="C191" s="33"/>
      <c r="D191" s="33"/>
      <c r="E191" s="25"/>
      <c r="F191" s="50"/>
      <c r="G191" s="23"/>
      <c r="H191" s="29"/>
      <c r="I191" s="29"/>
      <c r="J191" s="29"/>
      <c r="K191" s="29"/>
    </row>
    <row r="192" spans="2:11" ht="87" customHeight="1" x14ac:dyDescent="0.2">
      <c r="B192" s="33" t="s">
        <v>12</v>
      </c>
      <c r="C192" s="33" t="s">
        <v>13</v>
      </c>
      <c r="D192" s="33" t="s">
        <v>14</v>
      </c>
      <c r="E192" s="25" t="s">
        <v>15</v>
      </c>
      <c r="F192" s="50" t="s">
        <v>234</v>
      </c>
      <c r="G192" s="23" t="s">
        <v>196</v>
      </c>
      <c r="H192" s="29">
        <f t="shared" si="11"/>
        <v>1648000</v>
      </c>
      <c r="I192" s="29">
        <f>I193+I194</f>
        <v>205000</v>
      </c>
      <c r="J192" s="29">
        <f>J193+J194</f>
        <v>1443000</v>
      </c>
      <c r="K192" s="29">
        <f>K193+K194</f>
        <v>1443000</v>
      </c>
    </row>
    <row r="193" spans="2:11" ht="48.75" customHeight="1" x14ac:dyDescent="0.2">
      <c r="B193" s="69"/>
      <c r="C193" s="69"/>
      <c r="D193" s="69"/>
      <c r="E193" s="70"/>
      <c r="F193" s="50" t="s">
        <v>232</v>
      </c>
      <c r="G193" s="23"/>
      <c r="H193" s="30">
        <f t="shared" si="11"/>
        <v>1478000</v>
      </c>
      <c r="I193" s="30">
        <f>100000+28000-100000+7000</f>
        <v>35000</v>
      </c>
      <c r="J193" s="30">
        <f>2200000+100000-850000-7000</f>
        <v>1443000</v>
      </c>
      <c r="K193" s="30">
        <f>J193</f>
        <v>1443000</v>
      </c>
    </row>
    <row r="194" spans="2:11" ht="54" customHeight="1" x14ac:dyDescent="0.2">
      <c r="B194" s="71"/>
      <c r="C194" s="71"/>
      <c r="D194" s="71"/>
      <c r="E194" s="72"/>
      <c r="F194" s="50" t="s">
        <v>233</v>
      </c>
      <c r="G194" s="23"/>
      <c r="H194" s="30">
        <f t="shared" si="11"/>
        <v>170000</v>
      </c>
      <c r="I194" s="30">
        <f>100000+70000</f>
        <v>170000</v>
      </c>
      <c r="J194" s="30">
        <v>0</v>
      </c>
      <c r="K194" s="30">
        <f>J194</f>
        <v>0</v>
      </c>
    </row>
    <row r="195" spans="2:11" ht="76.5" customHeight="1" x14ac:dyDescent="0.2">
      <c r="B195" s="33"/>
      <c r="C195" s="33"/>
      <c r="D195" s="33"/>
      <c r="E195" s="25"/>
      <c r="F195" s="51" t="s">
        <v>373</v>
      </c>
      <c r="G195" s="23" t="s">
        <v>197</v>
      </c>
      <c r="H195" s="29">
        <f>H197+H198</f>
        <v>6426773</v>
      </c>
      <c r="I195" s="29">
        <f>I197+I198</f>
        <v>3681946</v>
      </c>
      <c r="J195" s="29">
        <f>J197+J198</f>
        <v>2744827</v>
      </c>
      <c r="K195" s="29">
        <f>K197+K198</f>
        <v>2736000</v>
      </c>
    </row>
    <row r="196" spans="2:11" ht="50.25" hidden="1" customHeight="1" x14ac:dyDescent="0.2">
      <c r="B196" s="33"/>
      <c r="C196" s="33"/>
      <c r="D196" s="33"/>
      <c r="E196" s="25"/>
      <c r="F196" s="50"/>
      <c r="G196" s="23"/>
      <c r="H196" s="30"/>
      <c r="I196" s="30"/>
      <c r="J196" s="30"/>
      <c r="K196" s="30"/>
    </row>
    <row r="197" spans="2:11" ht="91.5" customHeight="1" x14ac:dyDescent="0.2">
      <c r="B197" s="33" t="s">
        <v>175</v>
      </c>
      <c r="C197" s="33" t="s">
        <v>176</v>
      </c>
      <c r="D197" s="33" t="s">
        <v>178</v>
      </c>
      <c r="E197" s="25" t="s">
        <v>177</v>
      </c>
      <c r="F197" s="50" t="s">
        <v>403</v>
      </c>
      <c r="G197" s="23"/>
      <c r="H197" s="30">
        <f t="shared" ref="H197:H202" si="12">I197+J197</f>
        <v>6417946</v>
      </c>
      <c r="I197" s="30">
        <f>3357800+430000+91173-18917-178110</f>
        <v>3681946</v>
      </c>
      <c r="J197" s="30">
        <f>5000000-430000-1834000</f>
        <v>2736000</v>
      </c>
      <c r="K197" s="30">
        <f>J197</f>
        <v>2736000</v>
      </c>
    </row>
    <row r="198" spans="2:11" ht="189" customHeight="1" x14ac:dyDescent="0.2">
      <c r="B198" s="33" t="s">
        <v>372</v>
      </c>
      <c r="C198" s="33" t="s">
        <v>359</v>
      </c>
      <c r="D198" s="33" t="s">
        <v>9</v>
      </c>
      <c r="E198" s="25" t="s">
        <v>375</v>
      </c>
      <c r="F198" s="50" t="s">
        <v>374</v>
      </c>
      <c r="G198" s="23"/>
      <c r="H198" s="30">
        <f t="shared" si="12"/>
        <v>8827</v>
      </c>
      <c r="I198" s="30">
        <v>0</v>
      </c>
      <c r="J198" s="30">
        <v>8827</v>
      </c>
      <c r="K198" s="30">
        <v>0</v>
      </c>
    </row>
    <row r="199" spans="2:11" ht="69" customHeight="1" x14ac:dyDescent="0.2">
      <c r="B199" s="33"/>
      <c r="C199" s="33"/>
      <c r="D199" s="33"/>
      <c r="E199" s="25"/>
      <c r="F199" s="50" t="s">
        <v>238</v>
      </c>
      <c r="G199" s="23" t="s">
        <v>271</v>
      </c>
      <c r="H199" s="29">
        <f t="shared" si="12"/>
        <v>11408592</v>
      </c>
      <c r="I199" s="29">
        <f>I201+I202</f>
        <v>0</v>
      </c>
      <c r="J199" s="29">
        <f>J201+J202+J200</f>
        <v>11408592</v>
      </c>
      <c r="K199" s="29">
        <f>K201+K202+K200</f>
        <v>11408592</v>
      </c>
    </row>
    <row r="200" spans="2:11" ht="35.25" hidden="1" customHeight="1" x14ac:dyDescent="0.2">
      <c r="B200" s="33" t="s">
        <v>39</v>
      </c>
      <c r="C200" s="33" t="s">
        <v>40</v>
      </c>
      <c r="D200" s="33" t="s">
        <v>171</v>
      </c>
      <c r="E200" s="25" t="s">
        <v>41</v>
      </c>
      <c r="F200" s="50"/>
      <c r="G200" s="23"/>
      <c r="H200" s="30">
        <f t="shared" si="12"/>
        <v>0</v>
      </c>
      <c r="I200" s="30">
        <v>0</v>
      </c>
      <c r="J200" s="30">
        <f>2084000-2084000</f>
        <v>0</v>
      </c>
      <c r="K200" s="30">
        <v>0</v>
      </c>
    </row>
    <row r="201" spans="2:11" ht="35.25" hidden="1" customHeight="1" x14ac:dyDescent="0.2">
      <c r="B201" s="33" t="s">
        <v>18</v>
      </c>
      <c r="C201" s="33" t="s">
        <v>19</v>
      </c>
      <c r="D201" s="33" t="s">
        <v>14</v>
      </c>
      <c r="E201" s="25" t="s">
        <v>20</v>
      </c>
      <c r="F201" s="50"/>
      <c r="G201" s="23"/>
      <c r="H201" s="30">
        <f t="shared" si="12"/>
        <v>0</v>
      </c>
      <c r="I201" s="30">
        <v>0</v>
      </c>
      <c r="J201" s="30">
        <f>5277800+253544+174230-5705574</f>
        <v>0</v>
      </c>
      <c r="K201" s="30">
        <f>J201</f>
        <v>0</v>
      </c>
    </row>
    <row r="202" spans="2:11" ht="84.75" customHeight="1" x14ac:dyDescent="0.2">
      <c r="B202" s="33" t="s">
        <v>172</v>
      </c>
      <c r="C202" s="33" t="s">
        <v>174</v>
      </c>
      <c r="D202" s="33" t="s">
        <v>23</v>
      </c>
      <c r="E202" s="25" t="s">
        <v>173</v>
      </c>
      <c r="F202" s="50"/>
      <c r="G202" s="23"/>
      <c r="H202" s="30">
        <f t="shared" si="12"/>
        <v>11408592</v>
      </c>
      <c r="I202" s="30">
        <v>0</v>
      </c>
      <c r="J202" s="30">
        <f>991000+5705574+2084000+850000+20000+430206+130830+754000+176270-151095+1301838+87000-102000-425299+112800-31082+682000-46920-16500-338060-682000-112800-11170</f>
        <v>11408592</v>
      </c>
      <c r="K202" s="30">
        <f>J202</f>
        <v>11408592</v>
      </c>
    </row>
    <row r="203" spans="2:11" ht="75.75" hidden="1" customHeight="1" x14ac:dyDescent="0.2">
      <c r="B203" s="33"/>
      <c r="C203" s="33"/>
      <c r="D203" s="33"/>
      <c r="E203" s="25"/>
      <c r="F203" s="51"/>
      <c r="G203" s="23"/>
      <c r="H203" s="29"/>
      <c r="I203" s="29"/>
      <c r="J203" s="29"/>
      <c r="K203" s="29">
        <f>K204</f>
        <v>0</v>
      </c>
    </row>
    <row r="204" spans="2:11" ht="70.5" hidden="1" customHeight="1" x14ac:dyDescent="0.2">
      <c r="B204" s="33"/>
      <c r="C204" s="33"/>
      <c r="D204" s="33"/>
      <c r="E204" s="25"/>
      <c r="F204" s="50"/>
      <c r="G204" s="23"/>
      <c r="H204" s="30"/>
      <c r="I204" s="30"/>
      <c r="J204" s="30"/>
      <c r="K204" s="30">
        <v>0</v>
      </c>
    </row>
    <row r="205" spans="2:11" ht="48" hidden="1" customHeight="1" x14ac:dyDescent="0.2">
      <c r="B205" s="33"/>
      <c r="C205" s="33"/>
      <c r="D205" s="33"/>
      <c r="E205" s="25"/>
      <c r="F205" s="50"/>
      <c r="G205" s="23"/>
      <c r="H205" s="30"/>
      <c r="I205" s="30"/>
      <c r="J205" s="30"/>
      <c r="K205" s="30"/>
    </row>
    <row r="206" spans="2:11" ht="63.6" customHeight="1" x14ac:dyDescent="0.25">
      <c r="B206" s="52"/>
      <c r="C206" s="52"/>
      <c r="D206" s="52"/>
      <c r="E206" s="52"/>
      <c r="F206" s="131" t="s">
        <v>304</v>
      </c>
      <c r="G206" s="132" t="s">
        <v>194</v>
      </c>
      <c r="H206" s="134">
        <f>I206+J206</f>
        <v>852583.55</v>
      </c>
      <c r="I206" s="134">
        <f>I207+I208+I210+I209</f>
        <v>704273.55</v>
      </c>
      <c r="J206" s="134">
        <f>J207+J208+J210+J209</f>
        <v>148310</v>
      </c>
      <c r="K206" s="134">
        <f>K207+K208+K210+K209</f>
        <v>148310</v>
      </c>
    </row>
    <row r="207" spans="2:11" ht="49.9" customHeight="1" x14ac:dyDescent="0.25">
      <c r="B207" s="123" t="s">
        <v>39</v>
      </c>
      <c r="C207" s="123" t="s">
        <v>40</v>
      </c>
      <c r="D207" s="123" t="s">
        <v>171</v>
      </c>
      <c r="E207" s="124" t="s">
        <v>41</v>
      </c>
      <c r="F207" s="131"/>
      <c r="G207" s="53"/>
      <c r="H207" s="133">
        <f t="shared" ref="H207:H216" si="13">I207+J207</f>
        <v>620983.55000000005</v>
      </c>
      <c r="I207" s="133">
        <f>33000+108247+35000+12000+47000+31000+12995+8000+29846+45300+53250+40000+12000+26500-42972.45+169818</f>
        <v>620983.55000000005</v>
      </c>
      <c r="J207" s="133">
        <v>0</v>
      </c>
      <c r="K207" s="133">
        <v>0</v>
      </c>
    </row>
    <row r="208" spans="2:11" ht="54.6" customHeight="1" x14ac:dyDescent="0.25">
      <c r="B208" s="33" t="s">
        <v>12</v>
      </c>
      <c r="C208" s="33" t="s">
        <v>13</v>
      </c>
      <c r="D208" s="33" t="s">
        <v>14</v>
      </c>
      <c r="E208" s="25" t="s">
        <v>15</v>
      </c>
      <c r="F208" s="131"/>
      <c r="G208" s="53"/>
      <c r="H208" s="133">
        <f t="shared" si="13"/>
        <v>109600</v>
      </c>
      <c r="I208" s="133">
        <f>22000+25000+3900+3000+25000-25000+23500</f>
        <v>77400</v>
      </c>
      <c r="J208" s="133">
        <f>7200+25000</f>
        <v>32200</v>
      </c>
      <c r="K208" s="133">
        <f>J208</f>
        <v>32200</v>
      </c>
    </row>
    <row r="209" spans="2:11" ht="54.6" customHeight="1" x14ac:dyDescent="0.25">
      <c r="B209" s="33" t="s">
        <v>21</v>
      </c>
      <c r="C209" s="33" t="s">
        <v>8</v>
      </c>
      <c r="D209" s="33" t="s">
        <v>9</v>
      </c>
      <c r="E209" s="25" t="s">
        <v>10</v>
      </c>
      <c r="F209" s="131"/>
      <c r="G209" s="53"/>
      <c r="H209" s="133">
        <f>I209+J209</f>
        <v>20000</v>
      </c>
      <c r="I209" s="133">
        <v>5890</v>
      </c>
      <c r="J209" s="133">
        <v>14110</v>
      </c>
      <c r="K209" s="133">
        <f>J209</f>
        <v>14110</v>
      </c>
    </row>
    <row r="210" spans="2:11" ht="84.75" customHeight="1" x14ac:dyDescent="0.25">
      <c r="B210" s="33" t="s">
        <v>175</v>
      </c>
      <c r="C210" s="33" t="s">
        <v>176</v>
      </c>
      <c r="D210" s="33" t="s">
        <v>178</v>
      </c>
      <c r="E210" s="25" t="s">
        <v>177</v>
      </c>
      <c r="F210" s="67" t="s">
        <v>379</v>
      </c>
      <c r="G210" s="53"/>
      <c r="H210" s="133">
        <f>I210+J210</f>
        <v>102000</v>
      </c>
      <c r="I210" s="133">
        <v>0</v>
      </c>
      <c r="J210" s="133">
        <f>92000+10000</f>
        <v>102000</v>
      </c>
      <c r="K210" s="133">
        <f>J210</f>
        <v>102000</v>
      </c>
    </row>
    <row r="211" spans="2:11" ht="85.5" customHeight="1" x14ac:dyDescent="0.2">
      <c r="B211" s="33"/>
      <c r="C211" s="33"/>
      <c r="D211" s="33"/>
      <c r="E211" s="25"/>
      <c r="F211" s="32" t="s">
        <v>312</v>
      </c>
      <c r="G211" s="59" t="s">
        <v>168</v>
      </c>
      <c r="H211" s="134">
        <f t="shared" si="13"/>
        <v>101280</v>
      </c>
      <c r="I211" s="134">
        <f>SUM(I212:I216)</f>
        <v>101280</v>
      </c>
      <c r="J211" s="134">
        <f>SUM(J212:J216)</f>
        <v>0</v>
      </c>
      <c r="K211" s="134">
        <f>SUM(K212:K216)</f>
        <v>0</v>
      </c>
    </row>
    <row r="212" spans="2:11" ht="81.75" customHeight="1" x14ac:dyDescent="0.25">
      <c r="B212" s="33" t="s">
        <v>322</v>
      </c>
      <c r="C212" s="33" t="s">
        <v>319</v>
      </c>
      <c r="D212" s="137" t="s">
        <v>320</v>
      </c>
      <c r="E212" s="124" t="s">
        <v>323</v>
      </c>
      <c r="F212" s="131"/>
      <c r="G212" s="53"/>
      <c r="H212" s="133">
        <f t="shared" si="13"/>
        <v>45400</v>
      </c>
      <c r="I212" s="133">
        <v>45400</v>
      </c>
      <c r="J212" s="133"/>
      <c r="K212" s="133"/>
    </row>
    <row r="213" spans="2:11" ht="75" customHeight="1" x14ac:dyDescent="0.2">
      <c r="B213" s="33" t="s">
        <v>311</v>
      </c>
      <c r="C213" s="33" t="s">
        <v>154</v>
      </c>
      <c r="D213" s="33" t="s">
        <v>155</v>
      </c>
      <c r="E213" s="25" t="s">
        <v>156</v>
      </c>
      <c r="F213" s="50" t="s">
        <v>313</v>
      </c>
      <c r="G213" s="53"/>
      <c r="H213" s="133">
        <f t="shared" si="13"/>
        <v>55880</v>
      </c>
      <c r="I213" s="133">
        <f>191000-14472-17848-100000-2800</f>
        <v>55880</v>
      </c>
      <c r="J213" s="133"/>
      <c r="K213" s="133"/>
    </row>
    <row r="214" spans="2:11" ht="54.6" hidden="1" customHeight="1" x14ac:dyDescent="0.25">
      <c r="B214" s="33"/>
      <c r="C214" s="33"/>
      <c r="D214" s="33"/>
      <c r="E214" s="25"/>
      <c r="F214" s="131"/>
      <c r="G214" s="53"/>
      <c r="H214" s="133">
        <f t="shared" si="13"/>
        <v>0</v>
      </c>
      <c r="I214" s="133"/>
      <c r="J214" s="133"/>
      <c r="K214" s="133"/>
    </row>
    <row r="215" spans="2:11" ht="54.6" hidden="1" customHeight="1" x14ac:dyDescent="0.25">
      <c r="B215" s="33"/>
      <c r="C215" s="33"/>
      <c r="D215" s="33"/>
      <c r="E215" s="25"/>
      <c r="F215" s="131"/>
      <c r="G215" s="53"/>
      <c r="H215" s="133">
        <f t="shared" si="13"/>
        <v>0</v>
      </c>
      <c r="I215" s="133"/>
      <c r="J215" s="133"/>
      <c r="K215" s="133"/>
    </row>
    <row r="216" spans="2:11" ht="54.6" hidden="1" customHeight="1" x14ac:dyDescent="0.25">
      <c r="B216" s="33"/>
      <c r="C216" s="33"/>
      <c r="D216" s="33"/>
      <c r="E216" s="25"/>
      <c r="F216" s="131"/>
      <c r="G216" s="53"/>
      <c r="H216" s="133">
        <f t="shared" si="13"/>
        <v>0</v>
      </c>
      <c r="I216" s="133"/>
      <c r="J216" s="133"/>
      <c r="K216" s="133"/>
    </row>
    <row r="217" spans="2:11" ht="97.5" customHeight="1" x14ac:dyDescent="0.25">
      <c r="B217" s="33"/>
      <c r="C217" s="33"/>
      <c r="D217" s="33"/>
      <c r="E217" s="25"/>
      <c r="F217" s="131" t="s">
        <v>369</v>
      </c>
      <c r="G217" s="144" t="s">
        <v>364</v>
      </c>
      <c r="H217" s="134">
        <f>I217+J217</f>
        <v>460418</v>
      </c>
      <c r="I217" s="134">
        <f>I218+I219</f>
        <v>460418</v>
      </c>
      <c r="J217" s="134">
        <f>J218+J219</f>
        <v>0</v>
      </c>
      <c r="K217" s="134">
        <f>K218+K219</f>
        <v>0</v>
      </c>
    </row>
    <row r="218" spans="2:11" ht="153" customHeight="1" x14ac:dyDescent="0.25">
      <c r="B218" s="33" t="s">
        <v>370</v>
      </c>
      <c r="C218" s="33" t="s">
        <v>371</v>
      </c>
      <c r="D218" s="33" t="s">
        <v>14</v>
      </c>
      <c r="E218" s="25" t="s">
        <v>227</v>
      </c>
      <c r="F218" s="145" t="s">
        <v>400</v>
      </c>
      <c r="G218" s="144"/>
      <c r="H218" s="133">
        <f>I218+J218</f>
        <v>428478</v>
      </c>
      <c r="I218" s="133">
        <f>299986+180632-52140</f>
        <v>428478</v>
      </c>
      <c r="J218" s="133">
        <v>0</v>
      </c>
      <c r="K218" s="133">
        <v>0</v>
      </c>
    </row>
    <row r="219" spans="2:11" ht="114" customHeight="1" x14ac:dyDescent="0.25">
      <c r="B219" s="33" t="s">
        <v>12</v>
      </c>
      <c r="C219" s="33" t="s">
        <v>13</v>
      </c>
      <c r="D219" s="33" t="s">
        <v>14</v>
      </c>
      <c r="E219" s="25" t="s">
        <v>15</v>
      </c>
      <c r="F219" s="145" t="s">
        <v>382</v>
      </c>
      <c r="G219" s="144"/>
      <c r="H219" s="133">
        <f>I219+J219</f>
        <v>31940</v>
      </c>
      <c r="I219" s="133">
        <f>46000+1500-15560</f>
        <v>31940</v>
      </c>
      <c r="J219" s="133">
        <v>0</v>
      </c>
      <c r="K219" s="133">
        <v>0</v>
      </c>
    </row>
    <row r="220" spans="2:11" ht="28.5" customHeight="1" x14ac:dyDescent="0.2">
      <c r="B220" s="33"/>
      <c r="C220" s="33"/>
      <c r="D220" s="33"/>
      <c r="E220" s="111" t="s">
        <v>11</v>
      </c>
      <c r="F220" s="103"/>
      <c r="G220" s="98"/>
      <c r="H220" s="148">
        <f>H199+H195+H192+H188+H187+H186+H182+H170+H146+H206+H203+H211+H217</f>
        <v>93600215.549999997</v>
      </c>
      <c r="I220" s="148">
        <f>I199+I195+I192+I188+I187+I186+I182+I170+I146+I206+I203+I211+I217</f>
        <v>61371680.549999997</v>
      </c>
      <c r="J220" s="148">
        <f>J199+J195+J192+J188+J187+J186+J182+J170+J146+J206+J203+J211+J217</f>
        <v>32228535</v>
      </c>
      <c r="K220" s="148">
        <f>K199+K195+K192+K188+K187+K186+K182+K170+K146+K206+K203+K211+K217</f>
        <v>32219708</v>
      </c>
    </row>
    <row r="221" spans="2:11" ht="75" customHeight="1" x14ac:dyDescent="0.2">
      <c r="B221" s="49">
        <v>2800000</v>
      </c>
      <c r="C221" s="73"/>
      <c r="D221" s="73"/>
      <c r="E221" s="104" t="s">
        <v>267</v>
      </c>
      <c r="F221" s="24"/>
      <c r="G221" s="23"/>
      <c r="H221" s="23"/>
      <c r="I221" s="23"/>
      <c r="J221" s="23"/>
      <c r="K221" s="23"/>
    </row>
    <row r="222" spans="2:11" ht="75.75" customHeight="1" x14ac:dyDescent="0.25">
      <c r="B222" s="49">
        <v>2810000</v>
      </c>
      <c r="C222" s="73"/>
      <c r="D222" s="73"/>
      <c r="E222" s="78" t="s">
        <v>267</v>
      </c>
      <c r="F222" s="24"/>
      <c r="G222" s="74"/>
      <c r="H222" s="112"/>
      <c r="I222" s="112"/>
      <c r="J222" s="112"/>
      <c r="K222" s="112"/>
    </row>
    <row r="223" spans="2:11" ht="71.25" customHeight="1" x14ac:dyDescent="0.2">
      <c r="B223" s="49"/>
      <c r="C223" s="43"/>
      <c r="D223" s="43"/>
      <c r="E223" s="25"/>
      <c r="F223" s="51" t="s">
        <v>226</v>
      </c>
      <c r="G223" s="59" t="s">
        <v>34</v>
      </c>
      <c r="H223" s="56">
        <f>I223+J223</f>
        <v>220600</v>
      </c>
      <c r="I223" s="56">
        <f>I225+I226</f>
        <v>220600</v>
      </c>
      <c r="J223" s="56">
        <f>J225+J226</f>
        <v>0</v>
      </c>
      <c r="K223" s="56">
        <f>K225+K226</f>
        <v>0</v>
      </c>
    </row>
    <row r="224" spans="2:11" ht="144" hidden="1" customHeight="1" x14ac:dyDescent="0.2">
      <c r="B224" s="49"/>
      <c r="C224" s="73"/>
      <c r="D224" s="73"/>
      <c r="E224" s="25"/>
      <c r="F224" s="24" t="s">
        <v>205</v>
      </c>
      <c r="G224" s="74"/>
      <c r="H224" s="60">
        <f>I224+J224</f>
        <v>0</v>
      </c>
      <c r="I224" s="60"/>
      <c r="J224" s="60">
        <v>0</v>
      </c>
      <c r="K224" s="60">
        <f>J224</f>
        <v>0</v>
      </c>
    </row>
    <row r="225" spans="2:11" ht="38.450000000000003" customHeight="1" x14ac:dyDescent="0.2">
      <c r="B225" s="49" t="s">
        <v>212</v>
      </c>
      <c r="C225" s="43" t="s">
        <v>213</v>
      </c>
      <c r="D225" s="43" t="s">
        <v>214</v>
      </c>
      <c r="E225" s="25" t="s">
        <v>215</v>
      </c>
      <c r="F225" s="24"/>
      <c r="G225" s="74"/>
      <c r="H225" s="60">
        <f>I225+J225</f>
        <v>220600</v>
      </c>
      <c r="I225" s="60">
        <f>10000+220600-10000</f>
        <v>220600</v>
      </c>
      <c r="J225" s="60">
        <v>0</v>
      </c>
      <c r="K225" s="60">
        <v>0</v>
      </c>
    </row>
    <row r="226" spans="2:11" ht="52.5" customHeight="1" x14ac:dyDescent="0.2">
      <c r="B226" s="49">
        <v>2817370</v>
      </c>
      <c r="C226" s="43" t="s">
        <v>8</v>
      </c>
      <c r="D226" s="43" t="s">
        <v>9</v>
      </c>
      <c r="E226" s="25" t="s">
        <v>10</v>
      </c>
      <c r="F226" s="24"/>
      <c r="G226" s="74"/>
      <c r="H226" s="60">
        <f>I226+J226</f>
        <v>0</v>
      </c>
      <c r="I226" s="60">
        <f>36000-36000</f>
        <v>0</v>
      </c>
      <c r="J226" s="60">
        <f>264000-264000</f>
        <v>0</v>
      </c>
      <c r="K226" s="60">
        <f>264000-264000</f>
        <v>0</v>
      </c>
    </row>
    <row r="227" spans="2:11" ht="75.75" customHeight="1" x14ac:dyDescent="0.2">
      <c r="B227" s="49">
        <v>2818340</v>
      </c>
      <c r="C227" s="43" t="s">
        <v>35</v>
      </c>
      <c r="D227" s="43" t="s">
        <v>36</v>
      </c>
      <c r="E227" s="25" t="s">
        <v>37</v>
      </c>
      <c r="F227" s="32" t="s">
        <v>167</v>
      </c>
      <c r="G227" s="59" t="s">
        <v>38</v>
      </c>
      <c r="H227" s="56">
        <f>I227+J227</f>
        <v>301000</v>
      </c>
      <c r="I227" s="56"/>
      <c r="J227" s="56">
        <f>30000+150000+174000+6000-40000+40000-30000+30000-6000-53000</f>
        <v>301000</v>
      </c>
      <c r="K227" s="56">
        <v>0</v>
      </c>
    </row>
    <row r="228" spans="2:11" ht="75.75" customHeight="1" x14ac:dyDescent="0.25">
      <c r="B228" s="33"/>
      <c r="C228" s="33"/>
      <c r="D228" s="33"/>
      <c r="E228" s="35"/>
      <c r="F228" s="32" t="s">
        <v>312</v>
      </c>
      <c r="G228" s="59" t="s">
        <v>168</v>
      </c>
      <c r="H228" s="56">
        <f>H229</f>
        <v>5000</v>
      </c>
      <c r="I228" s="56">
        <f>I229</f>
        <v>5000</v>
      </c>
      <c r="J228" s="56">
        <f>J229</f>
        <v>0</v>
      </c>
      <c r="K228" s="56">
        <f>K229</f>
        <v>0</v>
      </c>
    </row>
    <row r="229" spans="2:11" ht="84" customHeight="1" x14ac:dyDescent="0.25">
      <c r="B229" s="71" t="s">
        <v>324</v>
      </c>
      <c r="C229" s="71" t="s">
        <v>319</v>
      </c>
      <c r="D229" s="137" t="s">
        <v>320</v>
      </c>
      <c r="E229" s="124" t="s">
        <v>323</v>
      </c>
      <c r="F229" s="131"/>
      <c r="G229" s="53"/>
      <c r="H229" s="60">
        <f>I229+J229</f>
        <v>5000</v>
      </c>
      <c r="I229" s="60">
        <v>5000</v>
      </c>
      <c r="J229" s="60"/>
      <c r="K229" s="60"/>
    </row>
    <row r="230" spans="2:11" ht="30.75" customHeight="1" x14ac:dyDescent="0.2">
      <c r="B230" s="49"/>
      <c r="C230" s="73"/>
      <c r="D230" s="73"/>
      <c r="E230" s="111" t="s">
        <v>11</v>
      </c>
      <c r="F230" s="113"/>
      <c r="G230" s="114"/>
      <c r="H230" s="115">
        <f>H223+H227+H228</f>
        <v>526600</v>
      </c>
      <c r="I230" s="115">
        <f>I223+I227+I228</f>
        <v>225600</v>
      </c>
      <c r="J230" s="115">
        <f>J223+J227+J228</f>
        <v>301000</v>
      </c>
      <c r="K230" s="115">
        <f>K223+K227+K228</f>
        <v>0</v>
      </c>
    </row>
    <row r="231" spans="2:11" ht="105" customHeight="1" x14ac:dyDescent="0.2">
      <c r="B231" s="54" t="s">
        <v>146</v>
      </c>
      <c r="C231" s="75"/>
      <c r="D231" s="75"/>
      <c r="E231" s="104" t="s">
        <v>268</v>
      </c>
      <c r="F231" s="24"/>
      <c r="G231" s="74"/>
      <c r="H231" s="116"/>
      <c r="I231" s="116"/>
      <c r="J231" s="116"/>
      <c r="K231" s="116"/>
    </row>
    <row r="232" spans="2:11" ht="97.5" customHeight="1" x14ac:dyDescent="0.25">
      <c r="B232" s="54" t="s">
        <v>147</v>
      </c>
      <c r="C232" s="75"/>
      <c r="D232" s="75"/>
      <c r="E232" s="78" t="s">
        <v>268</v>
      </c>
      <c r="F232" s="24"/>
      <c r="G232" s="74"/>
      <c r="H232" s="116"/>
      <c r="I232" s="116"/>
      <c r="J232" s="116"/>
      <c r="K232" s="116"/>
    </row>
    <row r="233" spans="2:11" ht="108" customHeight="1" x14ac:dyDescent="0.2">
      <c r="B233" s="49"/>
      <c r="C233" s="73"/>
      <c r="D233" s="73"/>
      <c r="E233" s="76"/>
      <c r="F233" s="32" t="s">
        <v>148</v>
      </c>
      <c r="G233" s="59" t="s">
        <v>165</v>
      </c>
      <c r="H233" s="56">
        <f t="shared" ref="H233:H244" si="14">I233+J233</f>
        <v>1226515</v>
      </c>
      <c r="I233" s="56">
        <f>I234+I235+I236</f>
        <v>666515</v>
      </c>
      <c r="J233" s="56">
        <f>J234+J235+J236</f>
        <v>560000</v>
      </c>
      <c r="K233" s="56">
        <f>K234+K235+K236</f>
        <v>560000</v>
      </c>
    </row>
    <row r="234" spans="2:11" ht="48" customHeight="1" x14ac:dyDescent="0.25">
      <c r="B234" s="33" t="s">
        <v>149</v>
      </c>
      <c r="C234" s="33" t="s">
        <v>8</v>
      </c>
      <c r="D234" s="33" t="s">
        <v>9</v>
      </c>
      <c r="E234" s="25" t="s">
        <v>10</v>
      </c>
      <c r="F234" s="77"/>
      <c r="G234" s="74"/>
      <c r="H234" s="60">
        <f t="shared" si="14"/>
        <v>560000</v>
      </c>
      <c r="I234" s="60"/>
      <c r="J234" s="60">
        <f>560000+1231865-1231865</f>
        <v>560000</v>
      </c>
      <c r="K234" s="60">
        <f>560000+1231865-1231865</f>
        <v>560000</v>
      </c>
    </row>
    <row r="235" spans="2:11" ht="34.15" customHeight="1" x14ac:dyDescent="0.25">
      <c r="B235" s="33" t="s">
        <v>150</v>
      </c>
      <c r="C235" s="33" t="s">
        <v>151</v>
      </c>
      <c r="D235" s="33" t="s">
        <v>55</v>
      </c>
      <c r="E235" s="25" t="s">
        <v>152</v>
      </c>
      <c r="F235" s="44"/>
      <c r="G235" s="74"/>
      <c r="H235" s="60">
        <f t="shared" si="14"/>
        <v>503515</v>
      </c>
      <c r="I235" s="60">
        <f>571600-68085</f>
        <v>503515</v>
      </c>
      <c r="J235" s="60">
        <f>J236+J238</f>
        <v>0</v>
      </c>
      <c r="K235" s="60">
        <f>K236+K238</f>
        <v>0</v>
      </c>
    </row>
    <row r="236" spans="2:11" ht="159.6" customHeight="1" x14ac:dyDescent="0.2">
      <c r="B236" s="33" t="s">
        <v>350</v>
      </c>
      <c r="C236" s="33" t="s">
        <v>300</v>
      </c>
      <c r="D236" s="33" t="s">
        <v>45</v>
      </c>
      <c r="E236" s="25" t="s">
        <v>301</v>
      </c>
      <c r="F236" s="24" t="s">
        <v>396</v>
      </c>
      <c r="G236" s="74"/>
      <c r="H236" s="60">
        <f t="shared" si="14"/>
        <v>163000</v>
      </c>
      <c r="I236" s="60">
        <f>100000+63000</f>
        <v>163000</v>
      </c>
      <c r="J236" s="56"/>
      <c r="K236" s="56"/>
    </row>
    <row r="237" spans="2:11" ht="45" hidden="1" customHeight="1" x14ac:dyDescent="0.2">
      <c r="B237" s="49"/>
      <c r="C237" s="73"/>
      <c r="D237" s="73"/>
      <c r="E237" s="76"/>
      <c r="F237" s="24"/>
      <c r="G237" s="74"/>
      <c r="H237" s="60">
        <f t="shared" si="14"/>
        <v>0</v>
      </c>
      <c r="I237" s="60"/>
      <c r="J237" s="56"/>
      <c r="K237" s="56"/>
    </row>
    <row r="238" spans="2:11" ht="39" hidden="1" customHeight="1" x14ac:dyDescent="0.2">
      <c r="B238" s="49"/>
      <c r="C238" s="73"/>
      <c r="D238" s="73"/>
      <c r="E238" s="76"/>
      <c r="F238" s="24"/>
      <c r="G238" s="74"/>
      <c r="H238" s="60">
        <f t="shared" si="14"/>
        <v>0</v>
      </c>
      <c r="I238" s="60"/>
      <c r="J238" s="56"/>
      <c r="K238" s="56"/>
    </row>
    <row r="239" spans="2:11" ht="89.25" customHeight="1" x14ac:dyDescent="0.2">
      <c r="B239" s="33"/>
      <c r="C239" s="33"/>
      <c r="D239" s="33"/>
      <c r="E239" s="25"/>
      <c r="F239" s="32" t="s">
        <v>312</v>
      </c>
      <c r="G239" s="59" t="s">
        <v>168</v>
      </c>
      <c r="H239" s="56">
        <f t="shared" si="14"/>
        <v>1229482</v>
      </c>
      <c r="I239" s="56">
        <f>SUM(I240:I244)</f>
        <v>1062549</v>
      </c>
      <c r="J239" s="56">
        <f>SUM(J240:J244)</f>
        <v>166933</v>
      </c>
      <c r="K239" s="56">
        <f>SUM(K240:K244)</f>
        <v>166933</v>
      </c>
    </row>
    <row r="240" spans="2:11" ht="81" customHeight="1" x14ac:dyDescent="0.25">
      <c r="B240" s="137" t="s">
        <v>349</v>
      </c>
      <c r="C240" s="137" t="s">
        <v>319</v>
      </c>
      <c r="D240" s="137" t="s">
        <v>320</v>
      </c>
      <c r="E240" s="124" t="s">
        <v>328</v>
      </c>
      <c r="F240" s="32"/>
      <c r="G240" s="59"/>
      <c r="H240" s="60">
        <f t="shared" si="14"/>
        <v>14000</v>
      </c>
      <c r="I240" s="60">
        <f>10000+4000</f>
        <v>14000</v>
      </c>
      <c r="J240" s="56"/>
      <c r="K240" s="56"/>
    </row>
    <row r="241" spans="1:11" ht="294.60000000000002" customHeight="1" x14ac:dyDescent="0.2">
      <c r="B241" s="33" t="s">
        <v>350</v>
      </c>
      <c r="C241" s="33" t="s">
        <v>300</v>
      </c>
      <c r="D241" s="33" t="s">
        <v>45</v>
      </c>
      <c r="E241" s="25" t="s">
        <v>301</v>
      </c>
      <c r="F241" s="24" t="s">
        <v>402</v>
      </c>
      <c r="G241" s="59"/>
      <c r="H241" s="60">
        <f t="shared" si="14"/>
        <v>323340</v>
      </c>
      <c r="I241" s="60">
        <f>100000+50000+150000+15000+8340</f>
        <v>323340</v>
      </c>
      <c r="J241" s="60"/>
      <c r="K241" s="60"/>
    </row>
    <row r="242" spans="1:11" ht="72.75" customHeight="1" x14ac:dyDescent="0.2">
      <c r="B242" s="33" t="s">
        <v>153</v>
      </c>
      <c r="C242" s="33" t="s">
        <v>154</v>
      </c>
      <c r="D242" s="33" t="s">
        <v>155</v>
      </c>
      <c r="E242" s="25" t="s">
        <v>156</v>
      </c>
      <c r="F242" s="146" t="s">
        <v>377</v>
      </c>
      <c r="G242" s="74"/>
      <c r="H242" s="60">
        <f>I242+J242</f>
        <v>526742</v>
      </c>
      <c r="I242" s="60">
        <f>103759+167012+220396+50000+54100-188513</f>
        <v>406754</v>
      </c>
      <c r="J242" s="60">
        <v>119988</v>
      </c>
      <c r="K242" s="60">
        <f>J242</f>
        <v>119988</v>
      </c>
    </row>
    <row r="243" spans="1:11" ht="51" customHeight="1" x14ac:dyDescent="0.2">
      <c r="B243" s="33" t="s">
        <v>153</v>
      </c>
      <c r="C243" s="33" t="s">
        <v>154</v>
      </c>
      <c r="D243" s="33" t="s">
        <v>155</v>
      </c>
      <c r="E243" s="25" t="s">
        <v>156</v>
      </c>
      <c r="F243" s="146" t="s">
        <v>378</v>
      </c>
      <c r="G243" s="74"/>
      <c r="H243" s="60">
        <f t="shared" si="14"/>
        <v>100000</v>
      </c>
      <c r="I243" s="60">
        <f>50000+50000</f>
        <v>100000</v>
      </c>
      <c r="J243" s="60">
        <v>0</v>
      </c>
      <c r="K243" s="60">
        <v>0</v>
      </c>
    </row>
    <row r="244" spans="1:11" ht="51" customHeight="1" x14ac:dyDescent="0.25">
      <c r="B244" s="33" t="s">
        <v>153</v>
      </c>
      <c r="C244" s="33" t="s">
        <v>154</v>
      </c>
      <c r="D244" s="33" t="s">
        <v>155</v>
      </c>
      <c r="E244" s="25" t="s">
        <v>156</v>
      </c>
      <c r="F244" s="67"/>
      <c r="G244" s="74"/>
      <c r="H244" s="60">
        <f t="shared" si="14"/>
        <v>265400</v>
      </c>
      <c r="I244" s="60">
        <f>204200-15500+19000+15000+5000+5000+1455-15700</f>
        <v>218455</v>
      </c>
      <c r="J244" s="60">
        <f>15500+17200-1455+15700</f>
        <v>46945</v>
      </c>
      <c r="K244" s="60">
        <f>15500+17200-1455+15700</f>
        <v>46945</v>
      </c>
    </row>
    <row r="245" spans="1:11" ht="61.5" hidden="1" customHeight="1" x14ac:dyDescent="0.25">
      <c r="B245" s="33"/>
      <c r="C245" s="33"/>
      <c r="D245" s="33"/>
      <c r="E245" s="25"/>
      <c r="F245" s="131"/>
      <c r="G245" s="132"/>
      <c r="H245" s="56"/>
      <c r="I245" s="56"/>
      <c r="J245" s="56"/>
      <c r="K245" s="56"/>
    </row>
    <row r="246" spans="1:11" ht="71.25" hidden="1" customHeight="1" x14ac:dyDescent="0.25">
      <c r="B246" s="33"/>
      <c r="C246" s="33"/>
      <c r="D246" s="33"/>
      <c r="E246" s="25"/>
      <c r="F246" s="67"/>
      <c r="G246" s="74"/>
      <c r="H246" s="60"/>
      <c r="I246" s="60"/>
      <c r="J246" s="60"/>
      <c r="K246" s="60"/>
    </row>
    <row r="247" spans="1:11" s="8" customFormat="1" ht="31.9" customHeight="1" x14ac:dyDescent="0.2">
      <c r="A247" s="7"/>
      <c r="B247" s="49"/>
      <c r="C247" s="100"/>
      <c r="D247" s="100"/>
      <c r="E247" s="111" t="s">
        <v>11</v>
      </c>
      <c r="F247" s="103"/>
      <c r="G247" s="117"/>
      <c r="H247" s="115">
        <f>I247+J247</f>
        <v>2455997</v>
      </c>
      <c r="I247" s="115">
        <f>I239+I233</f>
        <v>1729064</v>
      </c>
      <c r="J247" s="115">
        <f>J239+J233+J245</f>
        <v>726933</v>
      </c>
      <c r="K247" s="115">
        <f>K239+K233+K245</f>
        <v>726933</v>
      </c>
    </row>
    <row r="248" spans="1:11" ht="48.75" customHeight="1" x14ac:dyDescent="0.2">
      <c r="B248" s="33" t="s">
        <v>191</v>
      </c>
      <c r="C248" s="118"/>
      <c r="D248" s="118"/>
      <c r="E248" s="104" t="s">
        <v>269</v>
      </c>
      <c r="F248" s="32"/>
      <c r="G248" s="55"/>
      <c r="H248" s="56"/>
      <c r="I248" s="56"/>
      <c r="J248" s="56"/>
      <c r="K248" s="56"/>
    </row>
    <row r="249" spans="1:11" ht="53.25" customHeight="1" x14ac:dyDescent="0.25">
      <c r="B249" s="33" t="s">
        <v>192</v>
      </c>
      <c r="C249" s="33"/>
      <c r="D249" s="33"/>
      <c r="E249" s="78" t="s">
        <v>269</v>
      </c>
      <c r="F249" s="32"/>
      <c r="G249" s="55"/>
      <c r="H249" s="56"/>
      <c r="I249" s="56"/>
      <c r="J249" s="56"/>
      <c r="K249" s="56"/>
    </row>
    <row r="250" spans="1:11" ht="61.9" customHeight="1" x14ac:dyDescent="0.2">
      <c r="B250" s="57" t="s">
        <v>195</v>
      </c>
      <c r="C250" s="57" t="s">
        <v>8</v>
      </c>
      <c r="D250" s="57" t="s">
        <v>9</v>
      </c>
      <c r="E250" s="58" t="s">
        <v>10</v>
      </c>
      <c r="F250" s="32" t="s">
        <v>193</v>
      </c>
      <c r="G250" s="59" t="s">
        <v>194</v>
      </c>
      <c r="H250" s="150">
        <f>I250+J250</f>
        <v>0</v>
      </c>
      <c r="I250" s="150">
        <f>2210000-882797-191500+1020000-375813-1228276-508600.55-43013.45</f>
        <v>0</v>
      </c>
      <c r="J250" s="56">
        <f>J252</f>
        <v>0</v>
      </c>
      <c r="K250" s="56">
        <f>K252</f>
        <v>0</v>
      </c>
    </row>
    <row r="251" spans="1:11" ht="94.15" customHeight="1" x14ac:dyDescent="0.25">
      <c r="B251" s="57" t="s">
        <v>326</v>
      </c>
      <c r="C251" s="57" t="s">
        <v>319</v>
      </c>
      <c r="D251" s="137" t="s">
        <v>320</v>
      </c>
      <c r="E251" s="124" t="s">
        <v>323</v>
      </c>
      <c r="F251" s="32" t="s">
        <v>386</v>
      </c>
      <c r="G251" s="59" t="s">
        <v>168</v>
      </c>
      <c r="H251" s="56">
        <f>I251+J251</f>
        <v>8720</v>
      </c>
      <c r="I251" s="60">
        <f>8720</f>
        <v>8720</v>
      </c>
      <c r="J251" s="56"/>
      <c r="K251" s="56"/>
    </row>
    <row r="252" spans="1:11" ht="34.9" hidden="1" customHeight="1" x14ac:dyDescent="0.2">
      <c r="B252" s="57"/>
      <c r="C252" s="57"/>
      <c r="D252" s="57"/>
      <c r="E252" s="58"/>
      <c r="F252" s="24"/>
      <c r="G252" s="55"/>
      <c r="H252" s="60">
        <f>I252+J252</f>
        <v>0</v>
      </c>
      <c r="I252" s="60"/>
      <c r="J252" s="56"/>
      <c r="K252" s="56"/>
    </row>
    <row r="253" spans="1:11" ht="34.5" customHeight="1" x14ac:dyDescent="0.2">
      <c r="B253" s="49"/>
      <c r="C253" s="100"/>
      <c r="D253" s="100"/>
      <c r="E253" s="111" t="s">
        <v>11</v>
      </c>
      <c r="F253" s="103"/>
      <c r="G253" s="117"/>
      <c r="H253" s="149">
        <f>H250+H251</f>
        <v>8720</v>
      </c>
      <c r="I253" s="149">
        <f>I250+I251</f>
        <v>8720</v>
      </c>
      <c r="J253" s="149">
        <f>J250+J251</f>
        <v>0</v>
      </c>
      <c r="K253" s="149">
        <f>K250+K251</f>
        <v>0</v>
      </c>
    </row>
    <row r="254" spans="1:11" s="8" customFormat="1" ht="32.450000000000003" customHeight="1" x14ac:dyDescent="0.2">
      <c r="A254" s="7"/>
      <c r="B254" s="23" t="s">
        <v>2</v>
      </c>
      <c r="C254" s="39" t="s">
        <v>2</v>
      </c>
      <c r="D254" s="39" t="s">
        <v>2</v>
      </c>
      <c r="E254" s="119" t="s">
        <v>6</v>
      </c>
      <c r="F254" s="32" t="s">
        <v>2</v>
      </c>
      <c r="G254" s="39" t="s">
        <v>2</v>
      </c>
      <c r="H254" s="148">
        <f>I254+J254</f>
        <v>150186287.44999999</v>
      </c>
      <c r="I254" s="148">
        <f>I247+I230+I220+I140+I100+I41+I23+I253+I112</f>
        <v>107859471.84999999</v>
      </c>
      <c r="J254" s="148">
        <f>J247+J230+J220+J140+J100+J41+J23+J253+J112</f>
        <v>42326815.600000001</v>
      </c>
      <c r="K254" s="148">
        <f>K247+K230+K220+K140+K100+K41+K23+K253+K112</f>
        <v>41939256.600000001</v>
      </c>
    </row>
    <row r="255" spans="1:11" ht="23.25" customHeight="1" x14ac:dyDescent="0.2">
      <c r="B255" s="163" t="s">
        <v>277</v>
      </c>
      <c r="C255" s="164"/>
      <c r="D255" s="164"/>
      <c r="E255" s="164"/>
      <c r="F255" s="164"/>
      <c r="G255" s="164"/>
      <c r="H255" s="164"/>
      <c r="I255" s="164"/>
      <c r="J255" s="164"/>
      <c r="K255" s="164"/>
    </row>
    <row r="256" spans="1:11" s="120" customFormat="1" ht="22.15" customHeight="1" x14ac:dyDescent="0.35">
      <c r="A256" s="2"/>
      <c r="B256" s="85"/>
      <c r="C256" s="86"/>
      <c r="D256" s="86"/>
      <c r="E256" s="86"/>
      <c r="F256" s="86"/>
      <c r="G256" s="86"/>
      <c r="H256" s="86"/>
      <c r="I256" s="86"/>
      <c r="J256" s="85"/>
      <c r="K256" s="86"/>
    </row>
    <row r="257" spans="3:8" hidden="1" x14ac:dyDescent="0.2"/>
    <row r="258" spans="3:8" ht="49.9" customHeight="1" x14ac:dyDescent="0.3">
      <c r="C258" s="87" t="s">
        <v>306</v>
      </c>
      <c r="D258" s="88"/>
      <c r="E258" s="89"/>
      <c r="F258" s="121"/>
      <c r="G258" s="121"/>
      <c r="H258" s="121" t="s">
        <v>286</v>
      </c>
    </row>
    <row r="259" spans="3:8" ht="20.25" x14ac:dyDescent="0.3">
      <c r="C259" s="121"/>
      <c r="D259" s="122"/>
      <c r="E259" s="122"/>
      <c r="F259" s="121"/>
      <c r="G259" s="121"/>
      <c r="H259" s="121"/>
    </row>
  </sheetData>
  <mergeCells count="15">
    <mergeCell ref="B2:K2"/>
    <mergeCell ref="B4:C4"/>
    <mergeCell ref="B255:K255"/>
    <mergeCell ref="H1:K1"/>
    <mergeCell ref="H6:H7"/>
    <mergeCell ref="I6:I7"/>
    <mergeCell ref="J6:K6"/>
    <mergeCell ref="G6:G7"/>
    <mergeCell ref="F6:F7"/>
    <mergeCell ref="B3:K3"/>
    <mergeCell ref="E6:E7"/>
    <mergeCell ref="D6:D7"/>
    <mergeCell ref="C6:C7"/>
    <mergeCell ref="B5:C5"/>
    <mergeCell ref="B6:B7"/>
  </mergeCells>
  <phoneticPr fontId="12" type="noConversion"/>
  <printOptions horizontalCentered="1"/>
  <pageMargins left="0.19685039370078741" right="0.19685039370078741" top="1.5748031496062993" bottom="0.39370078740157483" header="0.35433070866141736" footer="0.19685039370078741"/>
  <pageSetup paperSize="9" scale="61" fitToHeight="26" orientation="landscape" blackAndWhite="1" r:id="rId1"/>
  <headerFooter differentFirst="1">
    <oddFooter>&amp;C&amp;P</oddFooter>
  </headerFooter>
  <rowBreaks count="1" manualBreakCount="1">
    <brk id="247"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9A424B-7C27-4125-9D75-CB650B201F8A}">
  <ds:schemaRefs>
    <ds:schemaRef ds:uri="http://purl.org/dc/dcmitype/"/>
    <ds:schemaRef ds:uri="http://purl.org/dc/terms/"/>
    <ds:schemaRef ds:uri="http://schemas.microsoft.com/office/2006/documentManagement/types"/>
    <ds:schemaRef ds:uri="http://purl.org/dc/elements/1.1/"/>
    <ds:schemaRef ds:uri="acedc1b3-a6a6-4744-bb8f-c9b717f8a9c9"/>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дод.7</vt:lpstr>
      <vt:lpstr>дод.7!Заголовки_для_печати</vt:lpstr>
      <vt:lpstr>дод.7!Область_печати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2020-12-16T14:15:02Z</cp:lastPrinted>
  <dcterms:created xsi:type="dcterms:W3CDTF">2014-01-17T10:52:16Z</dcterms:created>
  <dcterms:modified xsi:type="dcterms:W3CDTF">2020-12-23T12:54:53Z</dcterms:modified>
</cp:coreProperties>
</file>